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.5\data\145_ŽST Obrnice - soubor staveb\14 R. Náklady stavby\"/>
    </mc:Choice>
  </mc:AlternateContent>
  <xr:revisionPtr revIDLastSave="0" documentId="13_ncr:1_{43931241-9906-435E-97D9-75580458A6F6}" xr6:coauthVersionLast="47" xr6:coauthVersionMax="47" xr10:uidLastSave="{00000000-0000-0000-0000-000000000000}"/>
  <bookViews>
    <workbookView xWindow="-96" yWindow="0" windowWidth="23232" windowHeight="13776" xr2:uid="{00000000-000D-0000-FFFF-FFFF00000000}"/>
  </bookViews>
  <sheets>
    <sheet name="List2" sheetId="2" r:id="rId1"/>
    <sheet name="List3" sheetId="3" r:id="rId2"/>
  </sheets>
  <definedNames>
    <definedName name="_xlnm._FilterDatabase" localSheetId="0" hidden="1">List2!$A$1:$AB$58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3" i="2" l="1"/>
  <c r="U57" i="2"/>
  <c r="Z7" i="2" l="1"/>
  <c r="T7" i="2"/>
  <c r="Z16" i="2"/>
  <c r="AC30" i="2" l="1"/>
  <c r="AC28" i="2"/>
  <c r="AC23" i="2"/>
  <c r="AC21" i="2"/>
  <c r="AC19" i="2"/>
  <c r="AC17" i="2"/>
  <c r="AC16" i="2"/>
  <c r="AC13" i="2"/>
  <c r="AC11" i="2"/>
  <c r="AC7" i="2"/>
  <c r="AE30" i="2"/>
  <c r="AE28" i="2"/>
  <c r="AE23" i="2"/>
  <c r="AE21" i="2"/>
  <c r="AE17" i="2"/>
  <c r="AE16" i="2"/>
  <c r="AE13" i="2"/>
  <c r="AE11" i="2"/>
  <c r="AE7" i="2"/>
  <c r="R43" i="2" l="1"/>
  <c r="AC43" i="2" s="1"/>
  <c r="Q43" i="2"/>
  <c r="Q51" i="2"/>
  <c r="Y43" i="2"/>
  <c r="Y13" i="2"/>
  <c r="Y6" i="2"/>
  <c r="X42" i="2"/>
  <c r="X43" i="2"/>
  <c r="Y30" i="2"/>
  <c r="S43" i="2"/>
  <c r="S37" i="2"/>
  <c r="S42" i="2"/>
  <c r="S40" i="2"/>
  <c r="R46" i="2"/>
  <c r="Q7" i="2"/>
  <c r="AC55" i="2" l="1"/>
  <c r="AC56" i="2"/>
  <c r="AC8" i="2"/>
  <c r="AC9" i="2"/>
  <c r="AC10" i="2"/>
  <c r="AC12" i="2"/>
  <c r="AC14" i="2"/>
  <c r="AC15" i="2"/>
  <c r="AC18" i="2"/>
  <c r="AC20" i="2"/>
  <c r="AC22" i="2"/>
  <c r="AC24" i="2"/>
  <c r="AC25" i="2"/>
  <c r="AC27" i="2"/>
  <c r="AC29" i="2"/>
  <c r="AC31" i="2"/>
  <c r="AC32" i="2"/>
  <c r="AC33" i="2"/>
  <c r="AC34" i="2"/>
  <c r="AC36" i="2"/>
  <c r="AC37" i="2"/>
  <c r="AC39" i="2"/>
  <c r="AC40" i="2"/>
  <c r="AC42" i="2"/>
  <c r="AC45" i="2"/>
  <c r="AC46" i="2"/>
  <c r="AC48" i="2"/>
  <c r="AC49" i="2"/>
  <c r="AC50" i="2"/>
  <c r="AC51" i="2"/>
  <c r="AC54" i="2"/>
  <c r="AC6" i="2"/>
  <c r="V6" i="2"/>
  <c r="D32" i="2"/>
  <c r="D9" i="2"/>
  <c r="D6" i="2"/>
  <c r="E8" i="2"/>
  <c r="D78" i="2"/>
  <c r="E102" i="2"/>
  <c r="C102" i="2"/>
  <c r="E101" i="2"/>
  <c r="E99" i="2"/>
  <c r="D95" i="2"/>
  <c r="C95" i="2"/>
  <c r="C93" i="2"/>
  <c r="D93" i="2"/>
  <c r="D92" i="2"/>
  <c r="C92" i="2"/>
  <c r="C94" i="2"/>
  <c r="D90" i="2"/>
  <c r="C91" i="2"/>
  <c r="C90" i="2"/>
  <c r="C89" i="2"/>
  <c r="D89" i="2"/>
  <c r="Y11" i="2"/>
  <c r="N8" i="2"/>
  <c r="N6" i="2"/>
  <c r="R6" i="2"/>
  <c r="D34" i="2"/>
  <c r="D27" i="2"/>
  <c r="D16" i="2"/>
  <c r="D11" i="2"/>
  <c r="Q6" i="2"/>
  <c r="C78" i="2"/>
  <c r="D77" i="2"/>
  <c r="C77" i="2"/>
  <c r="C74" i="2"/>
  <c r="C75" i="2"/>
  <c r="C73" i="2"/>
  <c r="D76" i="2"/>
  <c r="D79" i="2" s="1"/>
  <c r="C76" i="2"/>
  <c r="D66" i="2"/>
  <c r="C79" i="2" l="1"/>
  <c r="X49" i="2"/>
  <c r="X30" i="2"/>
  <c r="X28" i="2"/>
  <c r="X23" i="2"/>
  <c r="X21" i="2"/>
  <c r="X19" i="2"/>
  <c r="X17" i="2"/>
  <c r="X16" i="2"/>
  <c r="X13" i="2"/>
  <c r="X11" i="2"/>
  <c r="X7" i="2"/>
  <c r="D63" i="2"/>
  <c r="D60" i="2"/>
  <c r="D39" i="2"/>
  <c r="D42" i="2"/>
  <c r="D45" i="2"/>
  <c r="D48" i="2"/>
  <c r="Y17" i="2" l="1"/>
  <c r="J54" i="2"/>
  <c r="V49" i="2"/>
  <c r="Y49" i="2" s="1"/>
  <c r="Y21" i="2"/>
  <c r="Y7" i="2"/>
  <c r="Y19" i="2"/>
  <c r="Y23" i="2"/>
  <c r="Y28" i="2"/>
  <c r="P49" i="2"/>
  <c r="N39" i="2"/>
  <c r="N29" i="2"/>
  <c r="N31" i="2"/>
  <c r="N32" i="2"/>
  <c r="N33" i="2"/>
  <c r="N42" i="2"/>
  <c r="N45" i="2"/>
  <c r="N48" i="2"/>
  <c r="N50" i="2"/>
  <c r="N27" i="2"/>
  <c r="N12" i="2"/>
  <c r="N9" i="2"/>
  <c r="N10" i="2"/>
  <c r="N14" i="2"/>
  <c r="N22" i="2"/>
  <c r="B3" i="2"/>
  <c r="P33" i="2" l="1"/>
  <c r="X33" i="2"/>
  <c r="X34" i="2" s="1"/>
  <c r="P22" i="2"/>
  <c r="X22" i="2"/>
  <c r="P10" i="2"/>
  <c r="X10" i="2"/>
  <c r="P12" i="2"/>
  <c r="X12" i="2"/>
  <c r="P6" i="2"/>
  <c r="X6" i="2"/>
  <c r="P32" i="2"/>
  <c r="X32" i="2"/>
  <c r="P31" i="2"/>
  <c r="X31" i="2"/>
  <c r="P29" i="2"/>
  <c r="X29" i="2"/>
  <c r="P39" i="2"/>
  <c r="X39" i="2"/>
  <c r="X40" i="2" s="1"/>
  <c r="P14" i="2"/>
  <c r="X14" i="2"/>
  <c r="P9" i="2"/>
  <c r="X9" i="2"/>
  <c r="P27" i="2"/>
  <c r="X27" i="2"/>
  <c r="P50" i="2"/>
  <c r="X50" i="2"/>
  <c r="X51" i="2" s="1"/>
  <c r="P48" i="2"/>
  <c r="X48" i="2"/>
  <c r="P45" i="2"/>
  <c r="X45" i="2"/>
  <c r="X46" i="2" s="1"/>
  <c r="P42" i="2"/>
  <c r="Q13" i="2"/>
  <c r="R13" i="2" s="1"/>
  <c r="S6" i="2"/>
  <c r="J18" i="2"/>
  <c r="Z33" i="2"/>
  <c r="Z34" i="2" s="1"/>
  <c r="U33" i="2"/>
  <c r="U34" i="2" s="1"/>
  <c r="T33" i="2"/>
  <c r="T34" i="2" s="1"/>
  <c r="S33" i="2"/>
  <c r="S34" i="2" s="1"/>
  <c r="Q33" i="2"/>
  <c r="Z32" i="2"/>
  <c r="U32" i="2"/>
  <c r="T32" i="2"/>
  <c r="S32" i="2"/>
  <c r="Q32" i="2"/>
  <c r="R32" i="2" s="1"/>
  <c r="Q31" i="2"/>
  <c r="M33" i="2"/>
  <c r="AB33" i="2" s="1"/>
  <c r="AB34" i="2" s="1"/>
  <c r="L33" i="2"/>
  <c r="AA33" i="2" s="1"/>
  <c r="AA34" i="2" s="1"/>
  <c r="J33" i="2"/>
  <c r="V33" i="2" s="1"/>
  <c r="M32" i="2"/>
  <c r="AB32" i="2" s="1"/>
  <c r="L32" i="2"/>
  <c r="AA32" i="2" s="1"/>
  <c r="J32" i="2"/>
  <c r="V32" i="2" s="1"/>
  <c r="Z31" i="2"/>
  <c r="U31" i="2"/>
  <c r="T31" i="2"/>
  <c r="S31" i="2"/>
  <c r="Z14" i="2"/>
  <c r="U14" i="2"/>
  <c r="T14" i="2"/>
  <c r="S14" i="2"/>
  <c r="Q14" i="2"/>
  <c r="R14" i="2" s="1"/>
  <c r="M15" i="2"/>
  <c r="L15" i="2"/>
  <c r="J15" i="2"/>
  <c r="J14" i="2"/>
  <c r="V14" i="2" s="1"/>
  <c r="J12" i="2"/>
  <c r="V12" i="2" s="1"/>
  <c r="L10" i="2"/>
  <c r="AA10" i="2" s="1"/>
  <c r="J10" i="2"/>
  <c r="V10" i="2" s="1"/>
  <c r="Z12" i="2"/>
  <c r="U12" i="2"/>
  <c r="T12" i="2"/>
  <c r="S12" i="2"/>
  <c r="Q12" i="2"/>
  <c r="R12" i="2" s="1"/>
  <c r="Z10" i="2"/>
  <c r="U10" i="2"/>
  <c r="T10" i="2"/>
  <c r="S10" i="2"/>
  <c r="Q10" i="2"/>
  <c r="R10" i="2" s="1"/>
  <c r="Z9" i="2"/>
  <c r="U9" i="2"/>
  <c r="T9" i="2"/>
  <c r="S9" i="2"/>
  <c r="Q9" i="2"/>
  <c r="Q11" i="2"/>
  <c r="R11" i="2" s="1"/>
  <c r="S13" i="2"/>
  <c r="S11" i="2"/>
  <c r="M13" i="2"/>
  <c r="AB13" i="2" s="1"/>
  <c r="L13" i="2"/>
  <c r="AA13" i="2" s="1"/>
  <c r="M14" i="2"/>
  <c r="AB14" i="2" s="1"/>
  <c r="L14" i="2"/>
  <c r="AA14" i="2" s="1"/>
  <c r="Z13" i="2"/>
  <c r="U13" i="2"/>
  <c r="T13" i="2"/>
  <c r="R7" i="2"/>
  <c r="M10" i="2"/>
  <c r="AB10" i="2" s="1"/>
  <c r="M9" i="2"/>
  <c r="AB9" i="2" s="1"/>
  <c r="L9" i="2"/>
  <c r="AA9" i="2" s="1"/>
  <c r="J9" i="2"/>
  <c r="V9" i="2" s="1"/>
  <c r="Z22" i="2"/>
  <c r="Z27" i="2"/>
  <c r="Z28" i="2"/>
  <c r="Z29" i="2"/>
  <c r="Z30" i="2"/>
  <c r="Z39" i="2"/>
  <c r="Z40" i="2" s="1"/>
  <c r="Z42" i="2"/>
  <c r="Z43" i="2" s="1"/>
  <c r="Z45" i="2"/>
  <c r="Z46" i="2" s="1"/>
  <c r="Z48" i="2"/>
  <c r="Z49" i="2"/>
  <c r="Z50" i="2"/>
  <c r="Z51" i="2" s="1"/>
  <c r="Z6" i="2"/>
  <c r="S39" i="2"/>
  <c r="Q39" i="2"/>
  <c r="J36" i="2"/>
  <c r="J31" i="2"/>
  <c r="V31" i="2" s="1"/>
  <c r="J29" i="2"/>
  <c r="V29" i="2" s="1"/>
  <c r="J50" i="2"/>
  <c r="V50" i="2" s="1"/>
  <c r="J48" i="2"/>
  <c r="V48" i="2" s="1"/>
  <c r="J45" i="2"/>
  <c r="V45" i="2" s="1"/>
  <c r="J42" i="2"/>
  <c r="V42" i="2" s="1"/>
  <c r="J39" i="2"/>
  <c r="V39" i="2" s="1"/>
  <c r="J27" i="2"/>
  <c r="V27" i="2" s="1"/>
  <c r="J8" i="2"/>
  <c r="J20" i="2"/>
  <c r="J22" i="2"/>
  <c r="V22" i="2" s="1"/>
  <c r="Y22" i="2" s="1"/>
  <c r="J24" i="2"/>
  <c r="J6" i="2"/>
  <c r="M50" i="2"/>
  <c r="AB50" i="2" s="1"/>
  <c r="AB51" i="2" s="1"/>
  <c r="L50" i="2"/>
  <c r="AA50" i="2" s="1"/>
  <c r="AA51" i="2" s="1"/>
  <c r="M49" i="2"/>
  <c r="AB49" i="2" s="1"/>
  <c r="L49" i="2"/>
  <c r="AA49" i="2" s="1"/>
  <c r="M48" i="2"/>
  <c r="AB48" i="2" s="1"/>
  <c r="L48" i="2"/>
  <c r="AA48" i="2" s="1"/>
  <c r="M45" i="2"/>
  <c r="AB45" i="2" s="1"/>
  <c r="AB46" i="2" s="1"/>
  <c r="L45" i="2"/>
  <c r="AA45" i="2" s="1"/>
  <c r="AA46" i="2" s="1"/>
  <c r="M42" i="2"/>
  <c r="AB42" i="2" s="1"/>
  <c r="AB43" i="2" s="1"/>
  <c r="L42" i="2"/>
  <c r="AA42" i="2" s="1"/>
  <c r="AA43" i="2" s="1"/>
  <c r="M39" i="2"/>
  <c r="AB39" i="2" s="1"/>
  <c r="AB40" i="2" s="1"/>
  <c r="L39" i="2"/>
  <c r="AA39" i="2" s="1"/>
  <c r="AA40" i="2" s="1"/>
  <c r="M36" i="2"/>
  <c r="L36" i="2"/>
  <c r="L28" i="2"/>
  <c r="AA28" i="2" s="1"/>
  <c r="M28" i="2"/>
  <c r="AB28" i="2" s="1"/>
  <c r="L29" i="2"/>
  <c r="AA29" i="2" s="1"/>
  <c r="M29" i="2"/>
  <c r="AB29" i="2" s="1"/>
  <c r="L30" i="2"/>
  <c r="AA30" i="2" s="1"/>
  <c r="M30" i="2"/>
  <c r="AB30" i="2" s="1"/>
  <c r="L31" i="2"/>
  <c r="AA31" i="2" s="1"/>
  <c r="M31" i="2"/>
  <c r="AB31" i="2" s="1"/>
  <c r="L27" i="2"/>
  <c r="AA27" i="2" s="1"/>
  <c r="M27" i="2"/>
  <c r="AB27" i="2" s="1"/>
  <c r="L7" i="2"/>
  <c r="M7" i="2"/>
  <c r="L8" i="2"/>
  <c r="M8" i="2"/>
  <c r="L11" i="2"/>
  <c r="M11" i="2"/>
  <c r="L12" i="2"/>
  <c r="AA12" i="2" s="1"/>
  <c r="M12" i="2"/>
  <c r="AB12" i="2" s="1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AA22" i="2" s="1"/>
  <c r="M22" i="2"/>
  <c r="AB22" i="2" s="1"/>
  <c r="L23" i="2"/>
  <c r="M23" i="2"/>
  <c r="L24" i="2"/>
  <c r="M24" i="2"/>
  <c r="M6" i="2"/>
  <c r="AB6" i="2" s="1"/>
  <c r="L6" i="2"/>
  <c r="AA6" i="2" s="1"/>
  <c r="R31" i="2" l="1"/>
  <c r="Y27" i="2"/>
  <c r="Y48" i="2"/>
  <c r="Y10" i="2"/>
  <c r="Y9" i="2"/>
  <c r="Y29" i="2"/>
  <c r="R9" i="2"/>
  <c r="Y12" i="2"/>
  <c r="Y32" i="2"/>
  <c r="Y31" i="2"/>
  <c r="Y14" i="2"/>
  <c r="V40" i="2"/>
  <c r="Y40" i="2" s="1"/>
  <c r="Y39" i="2"/>
  <c r="V46" i="2"/>
  <c r="Y46" i="2" s="1"/>
  <c r="Y45" i="2"/>
  <c r="V43" i="2"/>
  <c r="Y42" i="2"/>
  <c r="V51" i="2"/>
  <c r="Y51" i="2" s="1"/>
  <c r="Y50" i="2"/>
  <c r="V34" i="2"/>
  <c r="Y34" i="2" s="1"/>
  <c r="Y33" i="2"/>
  <c r="Q34" i="2"/>
  <c r="R34" i="2" s="1"/>
  <c r="R33" i="2"/>
  <c r="Q40" i="2"/>
  <c r="R40" i="2" s="1"/>
  <c r="R39" i="2"/>
  <c r="U22" i="2" l="1"/>
  <c r="U27" i="2"/>
  <c r="U28" i="2"/>
  <c r="U29" i="2"/>
  <c r="U30" i="2"/>
  <c r="U45" i="2"/>
  <c r="U46" i="2" s="1"/>
  <c r="U48" i="2"/>
  <c r="U49" i="2"/>
  <c r="U50" i="2"/>
  <c r="U51" i="2" s="1"/>
  <c r="T22" i="2"/>
  <c r="T27" i="2"/>
  <c r="T28" i="2"/>
  <c r="T29" i="2"/>
  <c r="T30" i="2"/>
  <c r="T45" i="2"/>
  <c r="T46" i="2" s="1"/>
  <c r="T48" i="2"/>
  <c r="T49" i="2"/>
  <c r="T50" i="2"/>
  <c r="T51" i="2" s="1"/>
  <c r="S28" i="2"/>
  <c r="S29" i="2"/>
  <c r="S30" i="2"/>
  <c r="S45" i="2"/>
  <c r="S46" i="2" s="1"/>
  <c r="S48" i="2"/>
  <c r="S49" i="2"/>
  <c r="S50" i="2"/>
  <c r="S51" i="2" s="1"/>
  <c r="S27" i="2"/>
  <c r="S22" i="2"/>
  <c r="Q50" i="2"/>
  <c r="Q49" i="2"/>
  <c r="R49" i="2" s="1"/>
  <c r="Q48" i="2"/>
  <c r="R48" i="2" s="1"/>
  <c r="Q45" i="2"/>
  <c r="Q42" i="2"/>
  <c r="R42" i="2" s="1"/>
  <c r="Q30" i="2"/>
  <c r="R30" i="2" s="1"/>
  <c r="Q29" i="2"/>
  <c r="R29" i="2" s="1"/>
  <c r="Q28" i="2"/>
  <c r="R28" i="2" s="1"/>
  <c r="Q19" i="2"/>
  <c r="R19" i="2" s="1"/>
  <c r="Q27" i="2"/>
  <c r="R27" i="2" s="1"/>
  <c r="Q23" i="2"/>
  <c r="R23" i="2" s="1"/>
  <c r="Q21" i="2"/>
  <c r="R21" i="2" s="1"/>
  <c r="Q22" i="2"/>
  <c r="R22" i="2" s="1"/>
  <c r="C16" i="2"/>
  <c r="Q16" i="2" s="1"/>
  <c r="R16" i="2" s="1"/>
  <c r="E55" i="2"/>
  <c r="D53" i="2" s="1"/>
  <c r="B36" i="2"/>
  <c r="E24" i="2"/>
  <c r="E21" i="2"/>
  <c r="E19" i="2"/>
  <c r="E18" i="2"/>
  <c r="S17" i="2" s="1"/>
  <c r="E16" i="2"/>
  <c r="T20" i="2" l="1"/>
  <c r="U20" i="2"/>
  <c r="R51" i="2"/>
  <c r="R50" i="2"/>
  <c r="Q46" i="2"/>
  <c r="R45" i="2"/>
  <c r="U23" i="2"/>
  <c r="N24" i="2"/>
  <c r="X24" i="2" s="1"/>
  <c r="X25" i="2" s="1"/>
  <c r="X8" i="2"/>
  <c r="V15" i="2"/>
  <c r="N15" i="2"/>
  <c r="X15" i="2" s="1"/>
  <c r="N18" i="2"/>
  <c r="X18" i="2" s="1"/>
  <c r="N20" i="2"/>
  <c r="X20" i="2" s="1"/>
  <c r="Q8" i="2"/>
  <c r="V8" i="2"/>
  <c r="V18" i="2"/>
  <c r="AB15" i="2"/>
  <c r="AA15" i="2"/>
  <c r="Z15" i="2"/>
  <c r="U15" i="2"/>
  <c r="T15" i="2"/>
  <c r="S15" i="2"/>
  <c r="Q15" i="2"/>
  <c r="V16" i="2"/>
  <c r="Y16" i="2" s="1"/>
  <c r="AB16" i="2"/>
  <c r="S16" i="2"/>
  <c r="AA16" i="2"/>
  <c r="U16" i="2"/>
  <c r="T16" i="2"/>
  <c r="U7" i="2"/>
  <c r="T8" i="2"/>
  <c r="AB8" i="2"/>
  <c r="AA8" i="2"/>
  <c r="Z8" i="2"/>
  <c r="U8" i="2"/>
  <c r="S8" i="2"/>
  <c r="AB11" i="2"/>
  <c r="AA11" i="2"/>
  <c r="Z11" i="2"/>
  <c r="U11" i="2"/>
  <c r="T11" i="2"/>
  <c r="E36" i="2"/>
  <c r="Z17" i="2"/>
  <c r="AA17" i="2"/>
  <c r="AB17" i="2"/>
  <c r="S18" i="2"/>
  <c r="AB19" i="2"/>
  <c r="AB18" i="2"/>
  <c r="Z18" i="2"/>
  <c r="Z19" i="2"/>
  <c r="AA19" i="2"/>
  <c r="AA18" i="2"/>
  <c r="U24" i="2"/>
  <c r="U25" i="2" s="1"/>
  <c r="Q20" i="2"/>
  <c r="AA20" i="2"/>
  <c r="AB20" i="2"/>
  <c r="Z21" i="2"/>
  <c r="AA21" i="2"/>
  <c r="Z20" i="2"/>
  <c r="AB21" i="2"/>
  <c r="V20" i="2"/>
  <c r="Q24" i="2"/>
  <c r="Z23" i="2"/>
  <c r="AA23" i="2"/>
  <c r="Z24" i="2"/>
  <c r="Z25" i="2" s="1"/>
  <c r="AB23" i="2"/>
  <c r="AA24" i="2"/>
  <c r="AA25" i="2" s="1"/>
  <c r="V24" i="2"/>
  <c r="AB24" i="2"/>
  <c r="AB25" i="2" s="1"/>
  <c r="U21" i="2"/>
  <c r="U19" i="2"/>
  <c r="U17" i="2"/>
  <c r="S7" i="2"/>
  <c r="AA7" i="2"/>
  <c r="AB7" i="2"/>
  <c r="T19" i="2"/>
  <c r="T17" i="2"/>
  <c r="S21" i="2"/>
  <c r="S20" i="2"/>
  <c r="T24" i="2"/>
  <c r="T25" i="2" s="1"/>
  <c r="S24" i="2"/>
  <c r="S25" i="2" s="1"/>
  <c r="T23" i="2"/>
  <c r="S23" i="2"/>
  <c r="T21" i="2"/>
  <c r="S19" i="2"/>
  <c r="E54" i="2"/>
  <c r="V54" i="2" s="1"/>
  <c r="Q17" i="2"/>
  <c r="R17" i="2" s="1"/>
  <c r="Q18" i="2"/>
  <c r="N36" i="2" l="1"/>
  <c r="X36" i="2" s="1"/>
  <c r="X37" i="2" s="1"/>
  <c r="D36" i="2"/>
  <c r="P18" i="2"/>
  <c r="R18" i="2" s="1"/>
  <c r="Y18" i="2"/>
  <c r="P15" i="2"/>
  <c r="R15" i="2" s="1"/>
  <c r="Y8" i="2"/>
  <c r="Y15" i="2"/>
  <c r="P24" i="2"/>
  <c r="R24" i="2" s="1"/>
  <c r="V25" i="2"/>
  <c r="Y25" i="2" s="1"/>
  <c r="P8" i="2"/>
  <c r="R8" i="2" s="1"/>
  <c r="P20" i="2"/>
  <c r="R20" i="2" s="1"/>
  <c r="Y20" i="2"/>
  <c r="P36" i="2"/>
  <c r="Q25" i="2"/>
  <c r="R25" i="2" s="1"/>
  <c r="Z54" i="2"/>
  <c r="Z55" i="2" s="1"/>
  <c r="N53" i="2"/>
  <c r="P53" i="2" s="1"/>
  <c r="N54" i="2"/>
  <c r="X54" i="2" s="1"/>
  <c r="X55" i="2" s="1"/>
  <c r="Q54" i="2"/>
  <c r="V55" i="2"/>
  <c r="Q36" i="2"/>
  <c r="AA36" i="2"/>
  <c r="AA37" i="2" s="1"/>
  <c r="AB36" i="2"/>
  <c r="AB37" i="2" s="1"/>
  <c r="Z36" i="2"/>
  <c r="Z37" i="2" s="1"/>
  <c r="V36" i="2"/>
  <c r="U36" i="2"/>
  <c r="U37" i="2" s="1"/>
  <c r="T36" i="2"/>
  <c r="T37" i="2" s="1"/>
  <c r="S36" i="2"/>
  <c r="S56" i="2" l="1"/>
  <c r="T56" i="2"/>
  <c r="P54" i="2"/>
  <c r="Z56" i="2"/>
  <c r="V37" i="2"/>
  <c r="Y37" i="2" s="1"/>
  <c r="Y36" i="2"/>
  <c r="U56" i="2"/>
  <c r="Y24" i="2"/>
  <c r="Q55" i="2"/>
  <c r="R55" i="2" s="1"/>
  <c r="R54" i="2"/>
  <c r="Q37" i="2"/>
  <c r="R37" i="2" s="1"/>
  <c r="R36" i="2"/>
  <c r="R56" i="2" s="1"/>
  <c r="AB56" i="2"/>
  <c r="Q56" i="2"/>
  <c r="AA56" i="2"/>
  <c r="Q57" i="2" l="1"/>
  <c r="Y55" i="2"/>
  <c r="Y54" i="2"/>
  <c r="Y56" i="2" l="1"/>
</calcChain>
</file>

<file path=xl/sharedStrings.xml><?xml version="1.0" encoding="utf-8"?>
<sst xmlns="http://schemas.openxmlformats.org/spreadsheetml/2006/main" count="157" uniqueCount="83">
  <si>
    <t>Staníčení</t>
  </si>
  <si>
    <t>(m2)</t>
  </si>
  <si>
    <t>(m3)</t>
  </si>
  <si>
    <t>(km)</t>
  </si>
  <si>
    <t>Plocha</t>
  </si>
  <si>
    <t>Kol.lože</t>
  </si>
  <si>
    <t>ŠD f.16/32</t>
  </si>
  <si>
    <t>Kubatůra</t>
  </si>
  <si>
    <t>Celkem m3:</t>
  </si>
  <si>
    <t>Kubatůry kolej č. 1</t>
  </si>
  <si>
    <t>ZV14</t>
  </si>
  <si>
    <t>KV14</t>
  </si>
  <si>
    <t>KV54</t>
  </si>
  <si>
    <t>ZV54</t>
  </si>
  <si>
    <t>ZV75</t>
  </si>
  <si>
    <t>KV75</t>
  </si>
  <si>
    <t>BK75</t>
  </si>
  <si>
    <t>KV82</t>
  </si>
  <si>
    <t>ZV82</t>
  </si>
  <si>
    <t>KV85</t>
  </si>
  <si>
    <t>ZV85</t>
  </si>
  <si>
    <t>ZV87</t>
  </si>
  <si>
    <t>KV87</t>
  </si>
  <si>
    <t>ZÚ</t>
  </si>
  <si>
    <t>KÚ</t>
  </si>
  <si>
    <t>Kubatůry kolej č. 2</t>
  </si>
  <si>
    <t>KV21B</t>
  </si>
  <si>
    <t>ZV21B</t>
  </si>
  <si>
    <t>ZV21A</t>
  </si>
  <si>
    <t>KV21A</t>
  </si>
  <si>
    <t>Kubatůry kolej č. 1a</t>
  </si>
  <si>
    <t>KV89</t>
  </si>
  <si>
    <t>Kubatůry kolej č. 12</t>
  </si>
  <si>
    <t>Kubatůry kolej č. 8</t>
  </si>
  <si>
    <t>Kubatůry kolej č. 4</t>
  </si>
  <si>
    <t>Kubatůry kolej č. 14</t>
  </si>
  <si>
    <t>KV57</t>
  </si>
  <si>
    <t>Kubatůry kolej č. 16</t>
  </si>
  <si>
    <t>KV45</t>
  </si>
  <si>
    <t>ŠD f.0/32</t>
  </si>
  <si>
    <t>SC</t>
  </si>
  <si>
    <t>Těžení kol. lože</t>
  </si>
  <si>
    <t>Těžení žel. Spodku</t>
  </si>
  <si>
    <t>Odvodnění</t>
  </si>
  <si>
    <t xml:space="preserve">Kubatůra </t>
  </si>
  <si>
    <t>KV 80</t>
  </si>
  <si>
    <t>KV80</t>
  </si>
  <si>
    <t>ZV80</t>
  </si>
  <si>
    <t>štěrkopísek fr. 0/32</t>
  </si>
  <si>
    <t>odvodnění</t>
  </si>
  <si>
    <t>SK 12-00-02</t>
  </si>
  <si>
    <t>ZV57</t>
  </si>
  <si>
    <t>SK 13-00-02</t>
  </si>
  <si>
    <t>SK 11-00-02</t>
  </si>
  <si>
    <t>Objem pražec</t>
  </si>
  <si>
    <t>Délka úseku</t>
  </si>
  <si>
    <t>1 ks/m3</t>
  </si>
  <si>
    <t>počet pražců</t>
  </si>
  <si>
    <t>(m3) - odečíst</t>
  </si>
  <si>
    <t>Kubatůra (s pražci)</t>
  </si>
  <si>
    <t>výběhy kolej č. 1</t>
  </si>
  <si>
    <t>výběhy kolej č. 2</t>
  </si>
  <si>
    <t>výběh zlazníky</t>
  </si>
  <si>
    <t xml:space="preserve">kolejnice </t>
  </si>
  <si>
    <t>dlouhé</t>
  </si>
  <si>
    <t>krátké</t>
  </si>
  <si>
    <t>výhybka</t>
  </si>
  <si>
    <t>21a</t>
  </si>
  <si>
    <t>21b</t>
  </si>
  <si>
    <t>kolejnice</t>
  </si>
  <si>
    <t>1a</t>
  </si>
  <si>
    <t>ZV85-ZV87</t>
  </si>
  <si>
    <t>KV82-KB75</t>
  </si>
  <si>
    <t>KV75-ZU</t>
  </si>
  <si>
    <t>ZV21B-ZV21A</t>
  </si>
  <si>
    <t>Doplění do profilu</t>
  </si>
  <si>
    <t>délka výhybky</t>
  </si>
  <si>
    <t>kubatura na steku</t>
  </si>
  <si>
    <t>zásyp odvod.</t>
  </si>
  <si>
    <t>Část</t>
  </si>
  <si>
    <t>Začátek</t>
  </si>
  <si>
    <t xml:space="preserve">Konec 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</si>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</sst>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"/>
    <numFmt numFmtId="165" formatCode="0.000000"/>
    <numFmt numFmtId="166" formatCode="0.0"/>
    <numFmt numFmtId="167" formatCode="_-* #,##0_-;\-* #,##0_-;_-* &quot;-&quot;??_-;_-@_-"/>
  </numFmts>
  <fonts count="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0">
    <xf numFmtId="0" fontId="0" fillId="0" borderId="0" xfId="0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4" fontId="0" fillId="2" borderId="8" xfId="0" applyNumberForma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164" fontId="0" fillId="4" borderId="6" xfId="0" applyNumberForma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164" fontId="0" fillId="4" borderId="8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164" fontId="0" fillId="0" borderId="8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5" fontId="0" fillId="2" borderId="0" xfId="0" applyNumberFormat="1" applyFill="1" applyAlignment="1">
      <alignment horizontal="left" vertical="center"/>
    </xf>
    <xf numFmtId="165" fontId="1" fillId="2" borderId="2" xfId="0" applyNumberFormat="1" applyFont="1" applyFill="1" applyBorder="1" applyAlignment="1">
      <alignment horizontal="left" vertical="center"/>
    </xf>
    <xf numFmtId="165" fontId="1" fillId="3" borderId="2" xfId="0" applyNumberFormat="1" applyFont="1" applyFill="1" applyBorder="1" applyAlignment="1">
      <alignment horizontal="left" vertical="center"/>
    </xf>
    <xf numFmtId="165" fontId="1" fillId="4" borderId="2" xfId="0" applyNumberFormat="1" applyFont="1" applyFill="1" applyBorder="1" applyAlignment="1">
      <alignment horizontal="left" vertical="center"/>
    </xf>
    <xf numFmtId="165" fontId="1" fillId="4" borderId="6" xfId="0" applyNumberFormat="1" applyFont="1" applyFill="1" applyBorder="1" applyAlignment="1">
      <alignment horizontal="left" vertical="center"/>
    </xf>
    <xf numFmtId="165" fontId="1" fillId="0" borderId="9" xfId="0" applyNumberFormat="1" applyFont="1" applyBorder="1" applyAlignment="1">
      <alignment horizontal="left" vertical="center"/>
    </xf>
    <xf numFmtId="165" fontId="1" fillId="2" borderId="8" xfId="0" applyNumberFormat="1" applyFont="1" applyFill="1" applyBorder="1" applyAlignment="1">
      <alignment horizontal="left" vertical="center"/>
    </xf>
    <xf numFmtId="165" fontId="1" fillId="2" borderId="6" xfId="0" applyNumberFormat="1" applyFont="1" applyFill="1" applyBorder="1" applyAlignment="1">
      <alignment horizontal="left" vertical="center"/>
    </xf>
    <xf numFmtId="165" fontId="1" fillId="4" borderId="8" xfId="0" applyNumberFormat="1" applyFont="1" applyFill="1" applyBorder="1" applyAlignment="1">
      <alignment horizontal="left" vertical="center"/>
    </xf>
    <xf numFmtId="165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165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65" fontId="0" fillId="2" borderId="0" xfId="0" applyNumberFormat="1" applyFill="1" applyAlignment="1">
      <alignment horizontal="center" vertical="center"/>
    </xf>
    <xf numFmtId="165" fontId="0" fillId="4" borderId="7" xfId="0" applyNumberFormat="1" applyFill="1" applyBorder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167" fontId="0" fillId="0" borderId="0" xfId="1" applyNumberFormat="1" applyFont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F106"/>
  <sheetViews>
    <sheetView tabSelected="1" topLeftCell="A61" zoomScale="70" zoomScaleNormal="70" workbookViewId="0">
      <selection activeCell="A60" sqref="A60:E67"/>
    </sheetView>
  </sheetViews>
  <sheetFormatPr defaultRowHeight="13.2" x14ac:dyDescent="0.25"/>
  <cols>
    <col min="1" max="1" width="12.6640625" style="4" customWidth="1"/>
    <col min="3" max="3" width="8.88671875" style="3"/>
    <col min="4" max="4" width="17.109375" style="3" customWidth="1"/>
    <col min="5" max="8" width="14.109375" style="2" customWidth="1"/>
    <col min="9" max="9" width="17" style="1" bestFit="1" customWidth="1"/>
    <col min="10" max="10" width="8.5546875" style="1" customWidth="1"/>
    <col min="11" max="11" width="9.21875" style="1" customWidth="1"/>
    <col min="12" max="12" width="8.6640625" style="1" customWidth="1"/>
    <col min="13" max="13" width="8" style="1" customWidth="1"/>
    <col min="14" max="14" width="10.88671875" style="1" customWidth="1"/>
    <col min="15" max="16" width="12.21875" style="1" customWidth="1"/>
    <col min="17" max="18" width="19.5546875" customWidth="1"/>
    <col min="19" max="21" width="19.33203125" customWidth="1"/>
    <col min="22" max="25" width="11.5546875" customWidth="1"/>
    <col min="26" max="28" width="11.5546875" bestFit="1" customWidth="1"/>
    <col min="29" max="29" width="15.88671875" bestFit="1" customWidth="1"/>
    <col min="31" max="32" width="0" hidden="1" customWidth="1"/>
  </cols>
  <sheetData>
    <row r="1" spans="1:32" ht="13.8" thickBot="1" x14ac:dyDescent="0.3">
      <c r="A1" s="3"/>
      <c r="B1" s="3"/>
      <c r="E1" s="13" t="s">
        <v>9</v>
      </c>
      <c r="F1" s="13"/>
      <c r="G1" s="13"/>
      <c r="H1" s="13"/>
      <c r="I1" s="10"/>
      <c r="J1" s="10"/>
      <c r="K1" s="10"/>
      <c r="L1" s="10"/>
      <c r="M1" s="10"/>
      <c r="N1" s="10"/>
      <c r="O1" s="10"/>
      <c r="P1" s="10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2" x14ac:dyDescent="0.25">
      <c r="A2" s="3"/>
      <c r="B2" s="3"/>
      <c r="C2" s="3" t="s">
        <v>44</v>
      </c>
      <c r="E2" s="15" t="s">
        <v>0</v>
      </c>
      <c r="F2" s="16" t="s">
        <v>4</v>
      </c>
      <c r="G2" s="16" t="s">
        <v>4</v>
      </c>
      <c r="H2" s="16" t="s">
        <v>4</v>
      </c>
      <c r="I2" s="17" t="s">
        <v>4</v>
      </c>
      <c r="J2" s="17" t="s">
        <v>4</v>
      </c>
      <c r="K2" s="17" t="s">
        <v>4</v>
      </c>
      <c r="L2" s="17" t="s">
        <v>4</v>
      </c>
      <c r="M2" s="18" t="s">
        <v>4</v>
      </c>
      <c r="N2" s="18" t="s">
        <v>55</v>
      </c>
      <c r="O2" s="18" t="s">
        <v>54</v>
      </c>
      <c r="P2" s="18" t="s">
        <v>57</v>
      </c>
      <c r="Q2" s="17" t="s">
        <v>59</v>
      </c>
      <c r="R2" s="17" t="s">
        <v>7</v>
      </c>
      <c r="S2" s="17" t="s">
        <v>7</v>
      </c>
      <c r="T2" s="17" t="s">
        <v>7</v>
      </c>
      <c r="U2" s="17" t="s">
        <v>7</v>
      </c>
      <c r="V2" s="17" t="s">
        <v>59</v>
      </c>
      <c r="W2" s="18" t="s">
        <v>54</v>
      </c>
      <c r="X2" s="18" t="s">
        <v>57</v>
      </c>
      <c r="Y2" s="17" t="s">
        <v>7</v>
      </c>
      <c r="Z2" s="17" t="s">
        <v>7</v>
      </c>
      <c r="AA2" s="17" t="s">
        <v>7</v>
      </c>
      <c r="AB2" s="17" t="s">
        <v>7</v>
      </c>
      <c r="AC2" s="17" t="s">
        <v>7</v>
      </c>
      <c r="AE2" s="22" t="s">
        <v>77</v>
      </c>
      <c r="AF2" s="10" t="s">
        <v>76</v>
      </c>
    </row>
    <row r="3" spans="1:32" x14ac:dyDescent="0.25">
      <c r="A3" s="3"/>
      <c r="B3" s="13">
        <f>E7-E6</f>
        <v>2.2999999999996135E-2</v>
      </c>
      <c r="E3" s="19"/>
      <c r="F3" s="20"/>
      <c r="G3" s="20"/>
      <c r="H3" s="20"/>
      <c r="I3" s="21" t="s">
        <v>49</v>
      </c>
      <c r="J3" s="21"/>
      <c r="K3" s="21"/>
      <c r="L3" s="21"/>
      <c r="M3" s="22"/>
      <c r="N3" s="22"/>
      <c r="O3" s="22"/>
      <c r="P3" s="22"/>
      <c r="Q3" s="21"/>
      <c r="R3" s="21"/>
      <c r="S3" s="21"/>
      <c r="T3" s="21"/>
      <c r="U3" s="21" t="s">
        <v>49</v>
      </c>
      <c r="V3" s="21"/>
      <c r="W3" s="22"/>
      <c r="X3" s="22"/>
      <c r="Y3" s="21"/>
      <c r="Z3" s="21" t="s">
        <v>78</v>
      </c>
      <c r="AA3" s="21"/>
      <c r="AB3" s="21"/>
      <c r="AC3" s="21"/>
    </row>
    <row r="4" spans="1:32" x14ac:dyDescent="0.25">
      <c r="A4" s="3"/>
      <c r="B4" s="3"/>
      <c r="C4" s="3" t="s">
        <v>2</v>
      </c>
      <c r="D4" s="13"/>
      <c r="E4" s="19" t="s">
        <v>3</v>
      </c>
      <c r="F4" s="20" t="s">
        <v>1</v>
      </c>
      <c r="G4" s="20" t="s">
        <v>1</v>
      </c>
      <c r="H4" s="20" t="s">
        <v>1</v>
      </c>
      <c r="I4" s="21" t="s">
        <v>1</v>
      </c>
      <c r="J4" s="21" t="s">
        <v>1</v>
      </c>
      <c r="K4" s="21" t="s">
        <v>1</v>
      </c>
      <c r="L4" s="21" t="s">
        <v>1</v>
      </c>
      <c r="M4" s="22" t="s">
        <v>1</v>
      </c>
      <c r="N4" s="22"/>
      <c r="O4" s="22" t="s">
        <v>56</v>
      </c>
      <c r="P4" s="22" t="s">
        <v>58</v>
      </c>
      <c r="Q4" s="21" t="s">
        <v>2</v>
      </c>
      <c r="R4" s="21" t="s">
        <v>2</v>
      </c>
      <c r="S4" s="21" t="s">
        <v>2</v>
      </c>
      <c r="T4" s="21" t="s">
        <v>2</v>
      </c>
      <c r="U4" s="21" t="s">
        <v>2</v>
      </c>
      <c r="V4" s="21" t="s">
        <v>2</v>
      </c>
      <c r="W4" s="22" t="s">
        <v>56</v>
      </c>
      <c r="X4" s="22" t="s">
        <v>58</v>
      </c>
      <c r="Y4" s="21" t="s">
        <v>2</v>
      </c>
      <c r="Z4" s="21" t="s">
        <v>2</v>
      </c>
      <c r="AA4" s="21" t="s">
        <v>2</v>
      </c>
      <c r="AB4" s="21" t="s">
        <v>2</v>
      </c>
      <c r="AC4" s="21" t="s">
        <v>2</v>
      </c>
    </row>
    <row r="5" spans="1:32" x14ac:dyDescent="0.25">
      <c r="A5" s="3"/>
      <c r="B5" s="3"/>
      <c r="E5" s="19"/>
      <c r="F5" s="20" t="s">
        <v>41</v>
      </c>
      <c r="G5" s="20" t="s">
        <v>42</v>
      </c>
      <c r="H5" s="20" t="s">
        <v>43</v>
      </c>
      <c r="I5" s="21" t="s">
        <v>48</v>
      </c>
      <c r="J5" s="21" t="s">
        <v>5</v>
      </c>
      <c r="K5" s="21" t="s">
        <v>6</v>
      </c>
      <c r="L5" s="21" t="s">
        <v>39</v>
      </c>
      <c r="M5" s="22" t="s">
        <v>40</v>
      </c>
      <c r="N5" s="22"/>
      <c r="O5" s="22"/>
      <c r="P5" s="22"/>
      <c r="Q5" s="21" t="s">
        <v>41</v>
      </c>
      <c r="R5" s="21" t="s">
        <v>41</v>
      </c>
      <c r="S5" s="21" t="s">
        <v>42</v>
      </c>
      <c r="T5" s="21" t="s">
        <v>43</v>
      </c>
      <c r="U5" s="21" t="s">
        <v>48</v>
      </c>
      <c r="V5" s="21" t="s">
        <v>5</v>
      </c>
      <c r="W5" s="22"/>
      <c r="X5" s="22"/>
      <c r="Y5" s="21" t="s">
        <v>5</v>
      </c>
      <c r="Z5" s="21" t="s">
        <v>6</v>
      </c>
      <c r="AA5" s="21" t="s">
        <v>39</v>
      </c>
      <c r="AB5" s="21" t="s">
        <v>40</v>
      </c>
      <c r="AC5" s="21" t="s">
        <v>75</v>
      </c>
    </row>
    <row r="6" spans="1:32" x14ac:dyDescent="0.25">
      <c r="A6" s="47" t="s">
        <v>50</v>
      </c>
      <c r="B6" s="24" t="s">
        <v>23</v>
      </c>
      <c r="C6" s="24"/>
      <c r="D6" s="44">
        <f>E9-E6</f>
        <v>6.2833999999980961E-2</v>
      </c>
      <c r="E6" s="31">
        <v>232.08382800000001</v>
      </c>
      <c r="F6" s="6">
        <v>3.8</v>
      </c>
      <c r="G6" s="6">
        <v>3</v>
      </c>
      <c r="H6" s="6"/>
      <c r="I6" s="6"/>
      <c r="J6" s="6">
        <f>F6-K6</f>
        <v>2.6999999999999997</v>
      </c>
      <c r="K6" s="6">
        <v>1.1000000000000001</v>
      </c>
      <c r="L6" s="6">
        <f>G6/2</f>
        <v>1.5</v>
      </c>
      <c r="M6" s="6">
        <f>G6/2</f>
        <v>1.5</v>
      </c>
      <c r="N6" s="28">
        <f>E7-E6</f>
        <v>2.2999999999996135E-2</v>
      </c>
      <c r="O6" s="28">
        <v>0.104</v>
      </c>
      <c r="P6" s="28">
        <f>((N6*1000)*1.64)*O6</f>
        <v>3.9228799999993407</v>
      </c>
      <c r="Q6" s="28">
        <f>(E7-E6)*1000*F6</f>
        <v>87.399999999985312</v>
      </c>
      <c r="R6" s="6">
        <f>Q6-P6</f>
        <v>83.477119999985973</v>
      </c>
      <c r="S6" s="6">
        <f t="shared" ref="S6:S24" si="0">(E7-E6)*1000*G6</f>
        <v>68.999999999988404</v>
      </c>
      <c r="T6" s="6"/>
      <c r="U6" s="6"/>
      <c r="V6" s="28">
        <f>(E7-E6)*1000*J6</f>
        <v>62.099999999989556</v>
      </c>
      <c r="W6" s="28">
        <v>0.125</v>
      </c>
      <c r="X6" s="28">
        <f t="shared" ref="X6:X24" si="1">((N6*1000)*1.66)*W6</f>
        <v>4.7724999999991979</v>
      </c>
      <c r="Y6" s="6">
        <f>V6-X6</f>
        <v>57.327499999990359</v>
      </c>
      <c r="Z6" s="6">
        <f t="shared" ref="Z6:Z12" si="2">(E7-E6)*1000*K6</f>
        <v>25.299999999995752</v>
      </c>
      <c r="AA6" s="6">
        <f t="shared" ref="AA6:AA24" si="3">(E7-E6)*1000*L6</f>
        <v>34.499999999994202</v>
      </c>
      <c r="AB6" s="6">
        <f t="shared" ref="AB6:AB24" si="4">(E7-E6)*1000*M6</f>
        <v>34.499999999994202</v>
      </c>
      <c r="AC6" s="6">
        <f>R6-Y6</f>
        <v>26.149619999995615</v>
      </c>
    </row>
    <row r="7" spans="1:32" x14ac:dyDescent="0.25">
      <c r="A7" s="47"/>
      <c r="B7" s="24" t="s">
        <v>10</v>
      </c>
      <c r="C7" s="24">
        <v>67</v>
      </c>
      <c r="D7" s="44"/>
      <c r="E7" s="31">
        <v>232.10682800000001</v>
      </c>
      <c r="F7" s="6"/>
      <c r="G7" s="6">
        <v>3</v>
      </c>
      <c r="H7" s="6">
        <v>0.4</v>
      </c>
      <c r="I7" s="6">
        <v>0.03</v>
      </c>
      <c r="J7" s="6"/>
      <c r="K7" s="6">
        <v>0.7</v>
      </c>
      <c r="L7" s="6">
        <f t="shared" ref="L7:L24" si="5">G7/2</f>
        <v>1.5</v>
      </c>
      <c r="M7" s="6">
        <f t="shared" ref="M7:M24" si="6">G7/2</f>
        <v>1.5</v>
      </c>
      <c r="N7" s="28"/>
      <c r="O7" s="28">
        <v>0.104</v>
      </c>
      <c r="P7" s="28"/>
      <c r="Q7" s="28">
        <f>C7</f>
        <v>67</v>
      </c>
      <c r="R7" s="6">
        <f>Q7-P7</f>
        <v>67</v>
      </c>
      <c r="S7" s="6">
        <f t="shared" si="0"/>
        <v>99.690000000009604</v>
      </c>
      <c r="T7" s="6">
        <f>(E8-E7)*1000*H7</f>
        <v>13.292000000001281</v>
      </c>
      <c r="U7" s="6">
        <f t="shared" ref="U7:U12" si="7">(E8-E7)*1000*I7</f>
        <v>0.99690000000009604</v>
      </c>
      <c r="V7" s="28">
        <v>67</v>
      </c>
      <c r="W7" s="28">
        <v>0.125</v>
      </c>
      <c r="X7" s="28">
        <f t="shared" si="1"/>
        <v>0</v>
      </c>
      <c r="Y7" s="6">
        <f t="shared" ref="Y7:Y55" si="8">V7-X7</f>
        <v>67</v>
      </c>
      <c r="Z7" s="6">
        <f>(E8-E7)*1000*K7</f>
        <v>23.261000000002241</v>
      </c>
      <c r="AA7" s="6">
        <f t="shared" si="3"/>
        <v>49.845000000004802</v>
      </c>
      <c r="AB7" s="6">
        <f t="shared" si="4"/>
        <v>49.845000000004802</v>
      </c>
      <c r="AC7" s="6">
        <f>AE7</f>
        <v>60</v>
      </c>
      <c r="AE7">
        <f>1.2*AF7</f>
        <v>60</v>
      </c>
      <c r="AF7">
        <v>50</v>
      </c>
    </row>
    <row r="8" spans="1:32" x14ac:dyDescent="0.25">
      <c r="A8" s="47"/>
      <c r="B8" s="24" t="s">
        <v>11</v>
      </c>
      <c r="C8" s="24"/>
      <c r="D8" s="44"/>
      <c r="E8" s="31">
        <f>E7+0.03323</f>
        <v>232.14005800000001</v>
      </c>
      <c r="F8" s="6">
        <v>3.5</v>
      </c>
      <c r="G8" s="6">
        <v>3</v>
      </c>
      <c r="H8" s="6">
        <v>0.5</v>
      </c>
      <c r="I8" s="6">
        <v>0.03</v>
      </c>
      <c r="J8" s="6">
        <f t="shared" ref="J8:J24" si="9">F8-K8</f>
        <v>2.4</v>
      </c>
      <c r="K8" s="6">
        <v>1.1000000000000001</v>
      </c>
      <c r="L8" s="6">
        <f t="shared" si="5"/>
        <v>1.5</v>
      </c>
      <c r="M8" s="6">
        <f t="shared" si="6"/>
        <v>1.5</v>
      </c>
      <c r="N8" s="28">
        <f>E9-E8</f>
        <v>6.6039999999816246E-3</v>
      </c>
      <c r="O8" s="28">
        <v>0.104</v>
      </c>
      <c r="P8" s="28">
        <f t="shared" ref="P8:P24" si="10">((N8*1000)*1.64)*O8</f>
        <v>1.1263782399968658</v>
      </c>
      <c r="Q8" s="28">
        <f>(E9-E8)*1000*F8</f>
        <v>23.113999999935686</v>
      </c>
      <c r="R8" s="6">
        <f t="shared" ref="R8:R55" si="11">Q8-P8</f>
        <v>21.987621759938818</v>
      </c>
      <c r="S8" s="6">
        <f t="shared" si="0"/>
        <v>19.811999999944874</v>
      </c>
      <c r="T8" s="6">
        <f t="shared" ref="T8:T12" si="12">(E9-E8)*1000*H8</f>
        <v>3.3019999999908123</v>
      </c>
      <c r="U8" s="6">
        <f t="shared" si="7"/>
        <v>0.19811999999944874</v>
      </c>
      <c r="V8" s="28">
        <f>(E9-E8)*1000*J8</f>
        <v>15.849599999955899</v>
      </c>
      <c r="W8" s="28">
        <v>0.125</v>
      </c>
      <c r="X8" s="28">
        <f t="shared" si="1"/>
        <v>1.3703299999961871</v>
      </c>
      <c r="Y8" s="6">
        <f t="shared" si="8"/>
        <v>14.479269999959712</v>
      </c>
      <c r="Z8" s="6">
        <f t="shared" si="2"/>
        <v>7.2643999999797879</v>
      </c>
      <c r="AA8" s="6">
        <f t="shared" si="3"/>
        <v>9.9059999999724369</v>
      </c>
      <c r="AB8" s="6">
        <f t="shared" si="4"/>
        <v>9.9059999999724369</v>
      </c>
      <c r="AC8" s="6">
        <f t="shared" ref="AC8:AC54" si="13">R8-Y8</f>
        <v>7.5083517599791065</v>
      </c>
    </row>
    <row r="9" spans="1:32" x14ac:dyDescent="0.25">
      <c r="A9" s="46" t="s">
        <v>52</v>
      </c>
      <c r="B9" s="25"/>
      <c r="C9" s="25"/>
      <c r="D9" s="42">
        <f>E10-E9</f>
        <v>0.6855290000000025</v>
      </c>
      <c r="E9" s="32">
        <v>232.14666199999999</v>
      </c>
      <c r="F9" s="7">
        <v>3.5</v>
      </c>
      <c r="G9" s="7">
        <v>3</v>
      </c>
      <c r="H9" s="7">
        <v>0.5</v>
      </c>
      <c r="I9" s="7">
        <v>0.03</v>
      </c>
      <c r="J9" s="7">
        <f t="shared" ref="J9" si="14">F9-K9</f>
        <v>2.4</v>
      </c>
      <c r="K9" s="7">
        <v>1.1000000000000001</v>
      </c>
      <c r="L9" s="7">
        <f t="shared" ref="L9" si="15">G9/2</f>
        <v>1.5</v>
      </c>
      <c r="M9" s="7">
        <f t="shared" ref="M9:M10" si="16">G9/2</f>
        <v>1.5</v>
      </c>
      <c r="N9" s="28">
        <f t="shared" ref="N9:N24" si="17">E10-E9</f>
        <v>0.6855290000000025</v>
      </c>
      <c r="O9" s="28">
        <v>0.104</v>
      </c>
      <c r="P9" s="28">
        <f t="shared" si="10"/>
        <v>116.92382624000042</v>
      </c>
      <c r="Q9" s="28">
        <f>(E10-E9)*1000*F9</f>
        <v>2399.3515000000089</v>
      </c>
      <c r="R9" s="7">
        <f t="shared" si="11"/>
        <v>2282.4276737600085</v>
      </c>
      <c r="S9" s="7">
        <f t="shared" si="0"/>
        <v>2056.5870000000077</v>
      </c>
      <c r="T9" s="7">
        <f t="shared" si="12"/>
        <v>342.76450000000125</v>
      </c>
      <c r="U9" s="7">
        <f t="shared" si="7"/>
        <v>20.565870000000075</v>
      </c>
      <c r="V9" s="28">
        <f>(E10-E9)*1000*J9</f>
        <v>1645.269600000006</v>
      </c>
      <c r="W9" s="28">
        <v>0.125</v>
      </c>
      <c r="X9" s="28">
        <f t="shared" si="1"/>
        <v>142.2472675000005</v>
      </c>
      <c r="Y9" s="7">
        <f t="shared" si="8"/>
        <v>1503.0223325000054</v>
      </c>
      <c r="Z9" s="7">
        <f t="shared" si="2"/>
        <v>754.08190000000286</v>
      </c>
      <c r="AA9" s="7">
        <f t="shared" si="3"/>
        <v>1028.2935000000039</v>
      </c>
      <c r="AB9" s="7">
        <f t="shared" si="4"/>
        <v>1028.2935000000039</v>
      </c>
      <c r="AC9" s="7">
        <f t="shared" si="13"/>
        <v>779.40534126000307</v>
      </c>
    </row>
    <row r="10" spans="1:32" x14ac:dyDescent="0.25">
      <c r="A10" s="46"/>
      <c r="B10" s="25"/>
      <c r="C10" s="25"/>
      <c r="D10" s="43"/>
      <c r="E10" s="32">
        <v>232.83219099999999</v>
      </c>
      <c r="F10" s="7">
        <v>3.5</v>
      </c>
      <c r="G10" s="7">
        <v>3</v>
      </c>
      <c r="H10" s="7">
        <v>0.5</v>
      </c>
      <c r="I10" s="7">
        <v>0.03</v>
      </c>
      <c r="J10" s="7">
        <f>F10-K10</f>
        <v>2.4</v>
      </c>
      <c r="K10" s="7">
        <v>1.1000000000000001</v>
      </c>
      <c r="L10" s="7">
        <f>G10/2</f>
        <v>1.5</v>
      </c>
      <c r="M10" s="7">
        <f t="shared" si="16"/>
        <v>1.5</v>
      </c>
      <c r="N10" s="28">
        <f t="shared" si="17"/>
        <v>8.0519999999921765E-3</v>
      </c>
      <c r="O10" s="28">
        <v>0.104</v>
      </c>
      <c r="P10" s="28">
        <f t="shared" si="10"/>
        <v>1.3733491199986656</v>
      </c>
      <c r="Q10" s="28">
        <f>(E11-E10)*1000*F10</f>
        <v>28.181999999972618</v>
      </c>
      <c r="R10" s="7">
        <f t="shared" si="11"/>
        <v>26.808650879973953</v>
      </c>
      <c r="S10" s="7">
        <f t="shared" si="0"/>
        <v>24.15599999997653</v>
      </c>
      <c r="T10" s="7">
        <f t="shared" si="12"/>
        <v>4.0259999999960883</v>
      </c>
      <c r="U10" s="7">
        <f t="shared" si="7"/>
        <v>0.2415599999997653</v>
      </c>
      <c r="V10" s="28">
        <f>(E11-E10)*1000*J10</f>
        <v>19.324799999981224</v>
      </c>
      <c r="W10" s="28">
        <v>0.125</v>
      </c>
      <c r="X10" s="28">
        <f t="shared" si="1"/>
        <v>1.6707899999983766</v>
      </c>
      <c r="Y10" s="7">
        <f t="shared" si="8"/>
        <v>17.654009999982847</v>
      </c>
      <c r="Z10" s="7">
        <f t="shared" si="2"/>
        <v>8.8571999999913942</v>
      </c>
      <c r="AA10" s="7">
        <f t="shared" si="3"/>
        <v>12.077999999988265</v>
      </c>
      <c r="AB10" s="7">
        <f t="shared" si="4"/>
        <v>12.077999999988265</v>
      </c>
      <c r="AC10" s="7">
        <f t="shared" si="13"/>
        <v>9.1546408799911063</v>
      </c>
    </row>
    <row r="11" spans="1:32" x14ac:dyDescent="0.25">
      <c r="A11" s="47" t="s">
        <v>50</v>
      </c>
      <c r="B11" s="24" t="s">
        <v>12</v>
      </c>
      <c r="C11" s="24">
        <v>67</v>
      </c>
      <c r="D11" s="44">
        <f>E15-E10</f>
        <v>8.6709000000013248E-2</v>
      </c>
      <c r="E11" s="31">
        <v>232.84024299999999</v>
      </c>
      <c r="F11" s="6"/>
      <c r="G11" s="6">
        <v>3</v>
      </c>
      <c r="H11" s="6">
        <v>0.4</v>
      </c>
      <c r="I11" s="6">
        <v>0.03</v>
      </c>
      <c r="J11" s="6"/>
      <c r="K11" s="6">
        <v>0.7</v>
      </c>
      <c r="L11" s="6">
        <f t="shared" si="5"/>
        <v>1.5</v>
      </c>
      <c r="M11" s="6">
        <f t="shared" si="6"/>
        <v>1.5</v>
      </c>
      <c r="N11" s="28"/>
      <c r="O11" s="28">
        <v>0.104</v>
      </c>
      <c r="P11" s="28"/>
      <c r="Q11" s="28">
        <f>C11</f>
        <v>67</v>
      </c>
      <c r="R11" s="6">
        <f t="shared" si="11"/>
        <v>67</v>
      </c>
      <c r="S11" s="6">
        <f t="shared" si="0"/>
        <v>100.82400000004554</v>
      </c>
      <c r="T11" s="6">
        <f t="shared" si="12"/>
        <v>13.443200000006073</v>
      </c>
      <c r="U11" s="6">
        <f t="shared" si="7"/>
        <v>1.0082400000004554</v>
      </c>
      <c r="V11" s="28">
        <v>67</v>
      </c>
      <c r="W11" s="28">
        <v>0.125</v>
      </c>
      <c r="X11" s="28">
        <f t="shared" si="1"/>
        <v>0</v>
      </c>
      <c r="Y11" s="6">
        <f>V11-X11</f>
        <v>67</v>
      </c>
      <c r="Z11" s="6">
        <f t="shared" si="2"/>
        <v>23.525600000010627</v>
      </c>
      <c r="AA11" s="6">
        <f t="shared" si="3"/>
        <v>50.412000000022772</v>
      </c>
      <c r="AB11" s="6">
        <f t="shared" si="4"/>
        <v>50.412000000022772</v>
      </c>
      <c r="AC11" s="6">
        <f>AE11</f>
        <v>60</v>
      </c>
      <c r="AE11">
        <f>1.2*AF11</f>
        <v>60</v>
      </c>
      <c r="AF11">
        <v>50</v>
      </c>
    </row>
    <row r="12" spans="1:32" x14ac:dyDescent="0.25">
      <c r="A12" s="47"/>
      <c r="B12" s="24" t="s">
        <v>13</v>
      </c>
      <c r="C12" s="24"/>
      <c r="D12" s="48"/>
      <c r="E12" s="31">
        <v>232.873851</v>
      </c>
      <c r="F12" s="6">
        <v>5.8</v>
      </c>
      <c r="G12" s="6">
        <v>4.0999999999999996</v>
      </c>
      <c r="H12" s="6">
        <v>0.3</v>
      </c>
      <c r="I12" s="6">
        <v>0.03</v>
      </c>
      <c r="J12" s="6">
        <f>F12-K12</f>
        <v>4.6999999999999993</v>
      </c>
      <c r="K12" s="6">
        <v>1.1000000000000001</v>
      </c>
      <c r="L12" s="6">
        <f t="shared" si="5"/>
        <v>2.0499999999999998</v>
      </c>
      <c r="M12" s="6">
        <f t="shared" si="6"/>
        <v>2.0499999999999998</v>
      </c>
      <c r="N12" s="28">
        <f>E13-E12</f>
        <v>9.0010000000120272E-3</v>
      </c>
      <c r="O12" s="28">
        <v>0.104</v>
      </c>
      <c r="P12" s="28">
        <f t="shared" si="10"/>
        <v>1.5352105600020514</v>
      </c>
      <c r="Q12" s="28">
        <f>(E13-E12)*1000*F12</f>
        <v>52.205800000069758</v>
      </c>
      <c r="R12" s="6">
        <f t="shared" si="11"/>
        <v>50.670589440067708</v>
      </c>
      <c r="S12" s="6">
        <f t="shared" si="0"/>
        <v>36.904100000049311</v>
      </c>
      <c r="T12" s="6">
        <f t="shared" si="12"/>
        <v>2.7003000000036081</v>
      </c>
      <c r="U12" s="6">
        <f t="shared" si="7"/>
        <v>0.27003000000036081</v>
      </c>
      <c r="V12" s="28">
        <f>(E13-E12)*1000*J12</f>
        <v>42.304700000056521</v>
      </c>
      <c r="W12" s="28">
        <v>0.125</v>
      </c>
      <c r="X12" s="28">
        <f t="shared" si="1"/>
        <v>1.8677075000024956</v>
      </c>
      <c r="Y12" s="6">
        <f t="shared" si="8"/>
        <v>40.436992500054025</v>
      </c>
      <c r="Z12" s="6">
        <f t="shared" si="2"/>
        <v>9.9011000000132299</v>
      </c>
      <c r="AA12" s="6">
        <f t="shared" si="3"/>
        <v>18.452050000024656</v>
      </c>
      <c r="AB12" s="6">
        <f t="shared" si="4"/>
        <v>18.452050000024656</v>
      </c>
      <c r="AC12" s="6">
        <f t="shared" si="13"/>
        <v>10.233596940013683</v>
      </c>
    </row>
    <row r="13" spans="1:32" x14ac:dyDescent="0.25">
      <c r="A13" s="47"/>
      <c r="B13" s="24" t="s">
        <v>36</v>
      </c>
      <c r="C13" s="24">
        <v>67</v>
      </c>
      <c r="D13" s="48"/>
      <c r="E13" s="31">
        <v>232.88285200000001</v>
      </c>
      <c r="F13" s="6"/>
      <c r="G13" s="6">
        <v>3</v>
      </c>
      <c r="H13" s="6">
        <v>0.4</v>
      </c>
      <c r="I13" s="6">
        <v>0.03</v>
      </c>
      <c r="J13" s="6"/>
      <c r="K13" s="6">
        <v>0.7</v>
      </c>
      <c r="L13" s="6">
        <f t="shared" si="5"/>
        <v>1.5</v>
      </c>
      <c r="M13" s="6">
        <f t="shared" si="6"/>
        <v>1.5</v>
      </c>
      <c r="N13" s="28"/>
      <c r="O13" s="28">
        <v>0.104</v>
      </c>
      <c r="P13" s="28"/>
      <c r="Q13" s="28">
        <f>C13</f>
        <v>67</v>
      </c>
      <c r="R13" s="6">
        <f t="shared" si="11"/>
        <v>67</v>
      </c>
      <c r="S13" s="6">
        <f t="shared" si="0"/>
        <v>99.593999999996186</v>
      </c>
      <c r="T13" s="6">
        <f>(E17-E13)*1000*H13</f>
        <v>51.369999999997162</v>
      </c>
      <c r="U13" s="6">
        <f>(E17-E13)*1000*I13</f>
        <v>3.8527499999997872</v>
      </c>
      <c r="V13" s="28">
        <v>67</v>
      </c>
      <c r="W13" s="28">
        <v>0.125</v>
      </c>
      <c r="X13" s="28">
        <f t="shared" si="1"/>
        <v>0</v>
      </c>
      <c r="Y13" s="6">
        <f>V13-X13</f>
        <v>67</v>
      </c>
      <c r="Z13" s="6">
        <f>(E17-E13)*1000*K13</f>
        <v>89.897499999995034</v>
      </c>
      <c r="AA13" s="6">
        <f t="shared" si="3"/>
        <v>49.796999999998093</v>
      </c>
      <c r="AB13" s="6">
        <f t="shared" si="4"/>
        <v>49.796999999998093</v>
      </c>
      <c r="AC13" s="6">
        <f>AE13</f>
        <v>66</v>
      </c>
      <c r="AE13">
        <f>1.2*AF13</f>
        <v>66</v>
      </c>
      <c r="AF13">
        <v>55</v>
      </c>
    </row>
    <row r="14" spans="1:32" x14ac:dyDescent="0.25">
      <c r="A14" s="47"/>
      <c r="B14" s="24" t="s">
        <v>51</v>
      </c>
      <c r="C14" s="24"/>
      <c r="D14" s="48"/>
      <c r="E14" s="31">
        <v>232.91605000000001</v>
      </c>
      <c r="F14" s="6">
        <v>3.2</v>
      </c>
      <c r="G14" s="6">
        <v>3</v>
      </c>
      <c r="H14" s="6">
        <v>0.4</v>
      </c>
      <c r="I14" s="6">
        <v>0.03</v>
      </c>
      <c r="J14" s="6">
        <f>F14-K14</f>
        <v>2.1</v>
      </c>
      <c r="K14" s="6">
        <v>1.1000000000000001</v>
      </c>
      <c r="L14" s="6">
        <f t="shared" ref="L14" si="18">G14/2</f>
        <v>1.5</v>
      </c>
      <c r="M14" s="6">
        <f t="shared" ref="M14" si="19">G14/2</f>
        <v>1.5</v>
      </c>
      <c r="N14" s="28">
        <f t="shared" si="17"/>
        <v>2.8499999999951342E-3</v>
      </c>
      <c r="O14" s="28">
        <v>0.104</v>
      </c>
      <c r="P14" s="28">
        <f t="shared" si="10"/>
        <v>0.48609599999917008</v>
      </c>
      <c r="Q14" s="28">
        <f>(E15-E14)*1000*F14</f>
        <v>9.1199999999844295</v>
      </c>
      <c r="R14" s="6">
        <f t="shared" si="11"/>
        <v>8.6339039999852591</v>
      </c>
      <c r="S14" s="6">
        <f t="shared" si="0"/>
        <v>8.5499999999854026</v>
      </c>
      <c r="T14" s="6">
        <f>(E15-E14)*1000*H14</f>
        <v>1.1399999999980537</v>
      </c>
      <c r="U14" s="6">
        <f>(E15-E14)*1000*I14</f>
        <v>8.5499999999854026E-2</v>
      </c>
      <c r="V14" s="28">
        <f>(E15-E14)*1000*J14</f>
        <v>5.9849999999897818</v>
      </c>
      <c r="W14" s="28">
        <v>0.125</v>
      </c>
      <c r="X14" s="28">
        <f t="shared" si="1"/>
        <v>0.59137499999899035</v>
      </c>
      <c r="Y14" s="6">
        <f>V14-X14</f>
        <v>5.3936249999907915</v>
      </c>
      <c r="Z14" s="6">
        <f t="shared" ref="Z14:Z24" si="20">(E15-E14)*1000*K14</f>
        <v>3.1349999999946481</v>
      </c>
      <c r="AA14" s="6">
        <f t="shared" si="3"/>
        <v>4.2749999999927013</v>
      </c>
      <c r="AB14" s="6">
        <f t="shared" si="4"/>
        <v>4.2749999999927013</v>
      </c>
      <c r="AC14" s="6">
        <f t="shared" si="13"/>
        <v>3.2402789999944677</v>
      </c>
    </row>
    <row r="15" spans="1:32" x14ac:dyDescent="0.25">
      <c r="A15" s="47"/>
      <c r="B15" s="24"/>
      <c r="C15" s="24"/>
      <c r="D15" s="48"/>
      <c r="E15" s="31">
        <v>232.91890000000001</v>
      </c>
      <c r="F15" s="6">
        <v>3.2</v>
      </c>
      <c r="G15" s="6">
        <v>3</v>
      </c>
      <c r="H15" s="6">
        <v>0.4</v>
      </c>
      <c r="I15" s="6">
        <v>0.03</v>
      </c>
      <c r="J15" s="6">
        <f>F15-K15</f>
        <v>2.1</v>
      </c>
      <c r="K15" s="6">
        <v>1.1000000000000001</v>
      </c>
      <c r="L15" s="6">
        <f t="shared" ref="L15" si="21">G15/2</f>
        <v>1.5</v>
      </c>
      <c r="M15" s="6">
        <f t="shared" ref="M15" si="22">G15/2</f>
        <v>1.5</v>
      </c>
      <c r="N15" s="28">
        <f t="shared" si="17"/>
        <v>7.2376999999988811E-2</v>
      </c>
      <c r="O15" s="28">
        <v>0.104</v>
      </c>
      <c r="P15" s="28">
        <f t="shared" si="10"/>
        <v>12.344621119998092</v>
      </c>
      <c r="Q15" s="28">
        <f>(E16-E15)*1000*F15</f>
        <v>231.6063999999642</v>
      </c>
      <c r="R15" s="6">
        <f t="shared" si="11"/>
        <v>219.2617788799661</v>
      </c>
      <c r="S15" s="6">
        <f t="shared" si="0"/>
        <v>217.13099999996643</v>
      </c>
      <c r="T15" s="6">
        <f>(E16-E15)*1000*H15</f>
        <v>28.950799999995525</v>
      </c>
      <c r="U15" s="6">
        <f>(E16-E15)*1000*I15</f>
        <v>2.1713099999996643</v>
      </c>
      <c r="V15" s="28">
        <f>(E16-E15)*1000*J15</f>
        <v>151.9916999999765</v>
      </c>
      <c r="W15" s="28">
        <v>0.125</v>
      </c>
      <c r="X15" s="28">
        <f t="shared" si="1"/>
        <v>15.018227499997678</v>
      </c>
      <c r="Y15" s="6">
        <f t="shared" si="8"/>
        <v>136.97347249997881</v>
      </c>
      <c r="Z15" s="6">
        <f t="shared" si="20"/>
        <v>79.614699999987693</v>
      </c>
      <c r="AA15" s="6">
        <f t="shared" si="3"/>
        <v>108.56549999998322</v>
      </c>
      <c r="AB15" s="6">
        <f t="shared" si="4"/>
        <v>108.56549999998322</v>
      </c>
      <c r="AC15" s="6">
        <f t="shared" si="13"/>
        <v>82.28830637998729</v>
      </c>
    </row>
    <row r="16" spans="1:32" x14ac:dyDescent="0.25">
      <c r="A16" s="41" t="s">
        <v>53</v>
      </c>
      <c r="B16" s="26" t="s">
        <v>14</v>
      </c>
      <c r="C16" s="41">
        <f>58*2</f>
        <v>116</v>
      </c>
      <c r="D16" s="39">
        <f>E25-E15</f>
        <v>0.26845499999998879</v>
      </c>
      <c r="E16" s="33">
        <f>E17-0.02</f>
        <v>232.991277</v>
      </c>
      <c r="F16" s="8"/>
      <c r="G16" s="8">
        <v>3</v>
      </c>
      <c r="H16" s="8">
        <v>0.4</v>
      </c>
      <c r="I16" s="8">
        <v>0.03</v>
      </c>
      <c r="J16" s="8"/>
      <c r="K16" s="8">
        <v>0.7</v>
      </c>
      <c r="L16" s="8">
        <f t="shared" si="5"/>
        <v>1.5</v>
      </c>
      <c r="M16" s="8">
        <f t="shared" si="6"/>
        <v>1.5</v>
      </c>
      <c r="N16" s="28"/>
      <c r="O16" s="28">
        <v>0.104</v>
      </c>
      <c r="P16" s="28"/>
      <c r="Q16" s="28">
        <f>C16</f>
        <v>116</v>
      </c>
      <c r="R16" s="8">
        <f t="shared" si="11"/>
        <v>116</v>
      </c>
      <c r="S16" s="8">
        <f t="shared" si="0"/>
        <v>60.000000000030695</v>
      </c>
      <c r="T16" s="8">
        <f>(E17-E16)*1000*H16</f>
        <v>8.0000000000040927</v>
      </c>
      <c r="U16" s="8">
        <f>(E17-E16)*1000*I16</f>
        <v>0.60000000000030695</v>
      </c>
      <c r="V16" s="28">
        <f>Q16</f>
        <v>116</v>
      </c>
      <c r="W16" s="28">
        <v>0.125</v>
      </c>
      <c r="X16" s="28">
        <f t="shared" si="1"/>
        <v>0</v>
      </c>
      <c r="Y16" s="8">
        <f>V16-X16</f>
        <v>116</v>
      </c>
      <c r="Z16" s="8">
        <f>(E17-E16)*1000*K16</f>
        <v>14.000000000007162</v>
      </c>
      <c r="AA16" s="8">
        <f t="shared" si="3"/>
        <v>30.000000000015348</v>
      </c>
      <c r="AB16" s="8">
        <f t="shared" si="4"/>
        <v>30.000000000015348</v>
      </c>
      <c r="AC16" s="8">
        <f>AE16</f>
        <v>48</v>
      </c>
      <c r="AE16">
        <f>1.2*AF16</f>
        <v>48</v>
      </c>
      <c r="AF16">
        <v>40</v>
      </c>
    </row>
    <row r="17" spans="1:32" x14ac:dyDescent="0.25">
      <c r="A17" s="41"/>
      <c r="B17" s="26" t="s">
        <v>16</v>
      </c>
      <c r="C17" s="41"/>
      <c r="D17" s="40"/>
      <c r="E17" s="33">
        <v>233.01127700000001</v>
      </c>
      <c r="F17" s="8"/>
      <c r="G17" s="8">
        <v>3</v>
      </c>
      <c r="H17" s="8">
        <v>0.4</v>
      </c>
      <c r="I17" s="8">
        <v>0.03</v>
      </c>
      <c r="J17" s="8"/>
      <c r="K17" s="8">
        <v>0.7</v>
      </c>
      <c r="L17" s="8">
        <f t="shared" si="5"/>
        <v>1.5</v>
      </c>
      <c r="M17" s="8">
        <f t="shared" si="6"/>
        <v>1.5</v>
      </c>
      <c r="N17" s="28"/>
      <c r="O17" s="28">
        <v>0.104</v>
      </c>
      <c r="P17" s="28"/>
      <c r="Q17" s="28">
        <f>C16</f>
        <v>116</v>
      </c>
      <c r="R17" s="8">
        <f>Q17-P17</f>
        <v>116</v>
      </c>
      <c r="S17" s="8">
        <f t="shared" si="0"/>
        <v>60.000000000030695</v>
      </c>
      <c r="T17" s="8">
        <f>(E18-E17)*1000*H17</f>
        <v>8.0000000000040927</v>
      </c>
      <c r="U17" s="8">
        <f t="shared" ref="U17:U50" si="23">(E18-E17)*1000*I17</f>
        <v>0.60000000000030695</v>
      </c>
      <c r="V17" s="28">
        <v>116</v>
      </c>
      <c r="W17" s="28">
        <v>0.125</v>
      </c>
      <c r="X17" s="28">
        <f t="shared" si="1"/>
        <v>0</v>
      </c>
      <c r="Y17" s="8">
        <f>V17-X17</f>
        <v>116</v>
      </c>
      <c r="Z17" s="8">
        <f t="shared" si="20"/>
        <v>14.000000000007162</v>
      </c>
      <c r="AA17" s="8">
        <f t="shared" si="3"/>
        <v>30.000000000015348</v>
      </c>
      <c r="AB17" s="8">
        <f t="shared" si="4"/>
        <v>30.000000000015348</v>
      </c>
      <c r="AC17" s="8">
        <f>AE17</f>
        <v>48</v>
      </c>
      <c r="AE17">
        <f>1.2*AF17</f>
        <v>48</v>
      </c>
      <c r="AF17">
        <v>40</v>
      </c>
    </row>
    <row r="18" spans="1:32" x14ac:dyDescent="0.25">
      <c r="A18" s="41"/>
      <c r="B18" s="26" t="s">
        <v>15</v>
      </c>
      <c r="C18" s="26"/>
      <c r="D18" s="40"/>
      <c r="E18" s="33">
        <f>E17+0.02</f>
        <v>233.03127700000002</v>
      </c>
      <c r="F18" s="8">
        <v>2.4</v>
      </c>
      <c r="G18" s="8">
        <v>2.2000000000000002</v>
      </c>
      <c r="H18" s="8"/>
      <c r="I18" s="8"/>
      <c r="J18" s="8">
        <f>F18-K18</f>
        <v>1.2999999999999998</v>
      </c>
      <c r="K18" s="8">
        <v>1.1000000000000001</v>
      </c>
      <c r="L18" s="8">
        <f t="shared" si="5"/>
        <v>1.1000000000000001</v>
      </c>
      <c r="M18" s="8">
        <f t="shared" si="6"/>
        <v>1.1000000000000001</v>
      </c>
      <c r="N18" s="28">
        <f t="shared" si="17"/>
        <v>3.6877999999973099E-2</v>
      </c>
      <c r="O18" s="28">
        <v>0.104</v>
      </c>
      <c r="P18" s="28">
        <f t="shared" si="10"/>
        <v>6.2899116799954111</v>
      </c>
      <c r="Q18" s="28">
        <f>(E19-E18)*1000*F18</f>
        <v>88.507199999935438</v>
      </c>
      <c r="R18" s="8">
        <f t="shared" si="11"/>
        <v>82.217288319940025</v>
      </c>
      <c r="S18" s="8">
        <f t="shared" si="0"/>
        <v>81.131599999940818</v>
      </c>
      <c r="T18" s="8"/>
      <c r="U18" s="8"/>
      <c r="V18" s="28">
        <f>(E19-E18)*1000*J18</f>
        <v>47.941399999965022</v>
      </c>
      <c r="W18" s="28">
        <v>0.125</v>
      </c>
      <c r="X18" s="28">
        <f t="shared" si="1"/>
        <v>7.652184999994418</v>
      </c>
      <c r="Y18" s="8">
        <f t="shared" si="8"/>
        <v>40.289214999970604</v>
      </c>
      <c r="Z18" s="8">
        <f t="shared" si="20"/>
        <v>40.565799999970409</v>
      </c>
      <c r="AA18" s="8">
        <f t="shared" si="3"/>
        <v>40.565799999970409</v>
      </c>
      <c r="AB18" s="8">
        <f t="shared" si="4"/>
        <v>40.565799999970409</v>
      </c>
      <c r="AC18" s="8">
        <f t="shared" si="13"/>
        <v>41.928073319969421</v>
      </c>
    </row>
    <row r="19" spans="1:32" x14ac:dyDescent="0.25">
      <c r="A19" s="41"/>
      <c r="B19" s="26" t="s">
        <v>17</v>
      </c>
      <c r="C19" s="26">
        <v>67</v>
      </c>
      <c r="D19" s="40"/>
      <c r="E19" s="33">
        <f>E20-0.03323</f>
        <v>233.06815499999999</v>
      </c>
      <c r="F19" s="8"/>
      <c r="G19" s="8">
        <v>3</v>
      </c>
      <c r="H19" s="8">
        <v>0.4</v>
      </c>
      <c r="I19" s="8">
        <v>0.03</v>
      </c>
      <c r="J19" s="8"/>
      <c r="K19" s="8">
        <v>0.7</v>
      </c>
      <c r="L19" s="8">
        <f t="shared" si="5"/>
        <v>1.5</v>
      </c>
      <c r="M19" s="8">
        <f t="shared" si="6"/>
        <v>1.5</v>
      </c>
      <c r="N19" s="28"/>
      <c r="O19" s="28">
        <v>0.104</v>
      </c>
      <c r="P19" s="28"/>
      <c r="Q19" s="28">
        <f>C19</f>
        <v>67</v>
      </c>
      <c r="R19" s="8">
        <f t="shared" si="11"/>
        <v>67</v>
      </c>
      <c r="S19" s="8">
        <f t="shared" si="0"/>
        <v>99.690000000009604</v>
      </c>
      <c r="T19" s="8">
        <f t="shared" ref="T19:T24" si="24">(E20-E19)*1000*H19</f>
        <v>13.292000000001281</v>
      </c>
      <c r="U19" s="8">
        <f t="shared" si="23"/>
        <v>0.99690000000009604</v>
      </c>
      <c r="V19" s="28">
        <v>67</v>
      </c>
      <c r="W19" s="28">
        <v>0.125</v>
      </c>
      <c r="X19" s="28">
        <f t="shared" si="1"/>
        <v>0</v>
      </c>
      <c r="Y19" s="8">
        <f t="shared" si="8"/>
        <v>67</v>
      </c>
      <c r="Z19" s="8">
        <f t="shared" si="20"/>
        <v>23.261000000002241</v>
      </c>
      <c r="AA19" s="8">
        <f t="shared" si="3"/>
        <v>49.845000000004802</v>
      </c>
      <c r="AB19" s="8">
        <f t="shared" si="4"/>
        <v>49.845000000004802</v>
      </c>
      <c r="AC19" s="8">
        <f>AE19</f>
        <v>0</v>
      </c>
      <c r="AF19">
        <v>50</v>
      </c>
    </row>
    <row r="20" spans="1:32" x14ac:dyDescent="0.25">
      <c r="A20" s="41"/>
      <c r="B20" s="26" t="s">
        <v>18</v>
      </c>
      <c r="C20" s="26"/>
      <c r="D20" s="40"/>
      <c r="E20" s="33">
        <v>233.10138499999999</v>
      </c>
      <c r="F20" s="8">
        <v>2</v>
      </c>
      <c r="G20" s="8">
        <v>2</v>
      </c>
      <c r="H20" s="8">
        <v>0.4</v>
      </c>
      <c r="I20" s="8">
        <v>0.03</v>
      </c>
      <c r="J20" s="8">
        <f t="shared" si="9"/>
        <v>0.89999999999999991</v>
      </c>
      <c r="K20" s="8">
        <v>1.1000000000000001</v>
      </c>
      <c r="L20" s="8">
        <f t="shared" si="5"/>
        <v>1</v>
      </c>
      <c r="M20" s="8">
        <f t="shared" si="6"/>
        <v>1</v>
      </c>
      <c r="N20" s="28">
        <f t="shared" si="17"/>
        <v>3.5980000000108703E-3</v>
      </c>
      <c r="O20" s="28">
        <v>0.104</v>
      </c>
      <c r="P20" s="28">
        <f t="shared" si="10"/>
        <v>0.613674880001854</v>
      </c>
      <c r="Q20" s="28">
        <f>(E21-E20)*1000*F20</f>
        <v>7.1960000000217406</v>
      </c>
      <c r="R20" s="8">
        <f t="shared" si="11"/>
        <v>6.5823251200198865</v>
      </c>
      <c r="S20" s="8">
        <f t="shared" si="0"/>
        <v>7.1960000000217406</v>
      </c>
      <c r="T20" s="8">
        <f t="shared" si="24"/>
        <v>1.4392000000043481</v>
      </c>
      <c r="U20" s="8">
        <f>(E21-E20)*1000*I20</f>
        <v>0.10794000000032611</v>
      </c>
      <c r="V20" s="28">
        <f>(E21-E20)*1000*J20</f>
        <v>3.2382000000097828</v>
      </c>
      <c r="W20" s="28">
        <v>0.125</v>
      </c>
      <c r="X20" s="28">
        <f t="shared" si="1"/>
        <v>0.74658500000225558</v>
      </c>
      <c r="Y20" s="8">
        <f t="shared" si="8"/>
        <v>2.4916150000075272</v>
      </c>
      <c r="Z20" s="8">
        <f t="shared" si="20"/>
        <v>3.9578000000119578</v>
      </c>
      <c r="AA20" s="8">
        <f t="shared" si="3"/>
        <v>3.5980000000108703</v>
      </c>
      <c r="AB20" s="8">
        <f t="shared" si="4"/>
        <v>3.5980000000108703</v>
      </c>
      <c r="AC20" s="8">
        <f t="shared" si="13"/>
        <v>4.0907101200123588</v>
      </c>
    </row>
    <row r="21" spans="1:32" x14ac:dyDescent="0.25">
      <c r="A21" s="41"/>
      <c r="B21" s="26" t="s">
        <v>19</v>
      </c>
      <c r="C21" s="26">
        <v>58</v>
      </c>
      <c r="D21" s="40"/>
      <c r="E21" s="33">
        <f>E22-0.02714</f>
        <v>233.104983</v>
      </c>
      <c r="F21" s="8"/>
      <c r="G21" s="8">
        <v>3</v>
      </c>
      <c r="H21" s="8">
        <v>0.4</v>
      </c>
      <c r="I21" s="8">
        <v>0.03</v>
      </c>
      <c r="J21" s="8"/>
      <c r="K21" s="8">
        <v>0.7</v>
      </c>
      <c r="L21" s="8">
        <f t="shared" si="5"/>
        <v>1.5</v>
      </c>
      <c r="M21" s="8">
        <f t="shared" si="6"/>
        <v>1.5</v>
      </c>
      <c r="N21" s="28"/>
      <c r="O21" s="28">
        <v>0.104</v>
      </c>
      <c r="P21" s="28"/>
      <c r="Q21" s="28">
        <f>C21</f>
        <v>58</v>
      </c>
      <c r="R21" s="8">
        <f t="shared" si="11"/>
        <v>58</v>
      </c>
      <c r="S21" s="8">
        <f t="shared" si="0"/>
        <v>81.420000000008486</v>
      </c>
      <c r="T21" s="8">
        <f t="shared" si="24"/>
        <v>10.856000000001131</v>
      </c>
      <c r="U21" s="8">
        <f t="shared" si="23"/>
        <v>0.81420000000008486</v>
      </c>
      <c r="V21" s="28">
        <v>58</v>
      </c>
      <c r="W21" s="28">
        <v>0.125</v>
      </c>
      <c r="X21" s="28">
        <f t="shared" si="1"/>
        <v>0</v>
      </c>
      <c r="Y21" s="8">
        <f t="shared" si="8"/>
        <v>58</v>
      </c>
      <c r="Z21" s="8">
        <f t="shared" si="20"/>
        <v>18.99800000000198</v>
      </c>
      <c r="AA21" s="8">
        <f t="shared" si="3"/>
        <v>40.710000000004243</v>
      </c>
      <c r="AB21" s="8">
        <f t="shared" si="4"/>
        <v>40.710000000004243</v>
      </c>
      <c r="AC21" s="8">
        <f>AE21</f>
        <v>54</v>
      </c>
      <c r="AE21">
        <f>1.2*AF21</f>
        <v>54</v>
      </c>
      <c r="AF21">
        <v>45</v>
      </c>
    </row>
    <row r="22" spans="1:32" x14ac:dyDescent="0.25">
      <c r="A22" s="41"/>
      <c r="B22" s="26" t="s">
        <v>20</v>
      </c>
      <c r="C22" s="26"/>
      <c r="D22" s="40"/>
      <c r="E22" s="33">
        <v>233.13212300000001</v>
      </c>
      <c r="F22" s="8">
        <v>3.5</v>
      </c>
      <c r="G22" s="8">
        <v>2.7</v>
      </c>
      <c r="H22" s="8">
        <v>0.6</v>
      </c>
      <c r="I22" s="8">
        <v>0.03</v>
      </c>
      <c r="J22" s="8">
        <f t="shared" si="9"/>
        <v>2.4</v>
      </c>
      <c r="K22" s="8">
        <v>1.1000000000000001</v>
      </c>
      <c r="L22" s="8">
        <f t="shared" si="5"/>
        <v>1.35</v>
      </c>
      <c r="M22" s="8">
        <f t="shared" si="6"/>
        <v>1.35</v>
      </c>
      <c r="N22" s="28">
        <f t="shared" si="17"/>
        <v>3.9999999999906777E-3</v>
      </c>
      <c r="O22" s="28">
        <v>0.104</v>
      </c>
      <c r="P22" s="28">
        <f t="shared" si="10"/>
        <v>0.68223999999841001</v>
      </c>
      <c r="Q22" s="28">
        <f>(E23-E22)*1000*F22</f>
        <v>13.999999999967372</v>
      </c>
      <c r="R22" s="8">
        <f t="shared" si="11"/>
        <v>13.317759999968962</v>
      </c>
      <c r="S22" s="8">
        <f t="shared" si="0"/>
        <v>10.79999999997483</v>
      </c>
      <c r="T22" s="8">
        <f t="shared" si="24"/>
        <v>2.3999999999944066</v>
      </c>
      <c r="U22" s="8">
        <f t="shared" si="23"/>
        <v>0.11999999999972033</v>
      </c>
      <c r="V22" s="28">
        <f>(E23-E22)*1000*J22</f>
        <v>9.5999999999776264</v>
      </c>
      <c r="W22" s="28">
        <v>0.125</v>
      </c>
      <c r="X22" s="28">
        <f t="shared" si="1"/>
        <v>0.82999999999806562</v>
      </c>
      <c r="Y22" s="8">
        <f t="shared" si="8"/>
        <v>8.7699999999795608</v>
      </c>
      <c r="Z22" s="8">
        <f t="shared" si="20"/>
        <v>4.3999999999897454</v>
      </c>
      <c r="AA22" s="8">
        <f t="shared" si="3"/>
        <v>5.3999999999874149</v>
      </c>
      <c r="AB22" s="8">
        <f t="shared" si="4"/>
        <v>5.3999999999874149</v>
      </c>
      <c r="AC22" s="8">
        <f t="shared" si="13"/>
        <v>4.5477599999894007</v>
      </c>
    </row>
    <row r="23" spans="1:32" x14ac:dyDescent="0.25">
      <c r="A23" s="41"/>
      <c r="B23" s="26" t="s">
        <v>21</v>
      </c>
      <c r="C23" s="26">
        <v>67</v>
      </c>
      <c r="D23" s="40"/>
      <c r="E23" s="33">
        <v>233.136123</v>
      </c>
      <c r="F23" s="8"/>
      <c r="G23" s="8">
        <v>3</v>
      </c>
      <c r="H23" s="8">
        <v>0.4</v>
      </c>
      <c r="I23" s="8">
        <v>0.03</v>
      </c>
      <c r="J23" s="8"/>
      <c r="K23" s="8">
        <v>0.7</v>
      </c>
      <c r="L23" s="8">
        <f t="shared" si="5"/>
        <v>1.5</v>
      </c>
      <c r="M23" s="8">
        <f t="shared" si="6"/>
        <v>1.5</v>
      </c>
      <c r="N23" s="28"/>
      <c r="O23" s="28">
        <v>0.104</v>
      </c>
      <c r="P23" s="28"/>
      <c r="Q23" s="28">
        <f>C23</f>
        <v>67</v>
      </c>
      <c r="R23" s="8">
        <f t="shared" si="11"/>
        <v>67</v>
      </c>
      <c r="S23" s="8">
        <f t="shared" si="0"/>
        <v>99.720000000019127</v>
      </c>
      <c r="T23" s="8">
        <f t="shared" si="24"/>
        <v>13.29600000000255</v>
      </c>
      <c r="U23" s="8">
        <f t="shared" si="23"/>
        <v>0.99720000000019127</v>
      </c>
      <c r="V23" s="28">
        <v>67</v>
      </c>
      <c r="W23" s="28">
        <v>0.125</v>
      </c>
      <c r="X23" s="28">
        <f t="shared" si="1"/>
        <v>0</v>
      </c>
      <c r="Y23" s="8">
        <f t="shared" si="8"/>
        <v>67</v>
      </c>
      <c r="Z23" s="8">
        <f t="shared" si="20"/>
        <v>23.268000000004463</v>
      </c>
      <c r="AA23" s="8">
        <f t="shared" si="3"/>
        <v>49.860000000009563</v>
      </c>
      <c r="AB23" s="8">
        <f t="shared" si="4"/>
        <v>49.860000000009563</v>
      </c>
      <c r="AC23" s="8">
        <f>AE23</f>
        <v>60</v>
      </c>
      <c r="AE23">
        <f>1.2*AF23</f>
        <v>60</v>
      </c>
      <c r="AF23">
        <v>50</v>
      </c>
    </row>
    <row r="24" spans="1:32" x14ac:dyDescent="0.25">
      <c r="A24" s="41"/>
      <c r="B24" s="26" t="s">
        <v>22</v>
      </c>
      <c r="C24" s="26"/>
      <c r="D24" s="40"/>
      <c r="E24" s="33">
        <f>E23+0.03324</f>
        <v>233.169363</v>
      </c>
      <c r="F24" s="8">
        <v>3.6</v>
      </c>
      <c r="G24" s="8">
        <v>2.7</v>
      </c>
      <c r="H24" s="8">
        <v>0.5</v>
      </c>
      <c r="I24" s="8">
        <v>0.03</v>
      </c>
      <c r="J24" s="8">
        <f t="shared" si="9"/>
        <v>2.5</v>
      </c>
      <c r="K24" s="8">
        <v>1.1000000000000001</v>
      </c>
      <c r="L24" s="8">
        <f t="shared" si="5"/>
        <v>1.35</v>
      </c>
      <c r="M24" s="8">
        <f t="shared" si="6"/>
        <v>1.35</v>
      </c>
      <c r="N24" s="28">
        <f t="shared" si="17"/>
        <v>1.7991999999992458E-2</v>
      </c>
      <c r="O24" s="28">
        <v>0.104</v>
      </c>
      <c r="P24" s="28">
        <f t="shared" si="10"/>
        <v>3.0687155199987135</v>
      </c>
      <c r="Q24" s="28">
        <f>(E25-E24)*1000*F24</f>
        <v>64.77119999997285</v>
      </c>
      <c r="R24" s="8">
        <f t="shared" si="11"/>
        <v>61.702484479974139</v>
      </c>
      <c r="S24" s="8">
        <f t="shared" si="0"/>
        <v>48.578399999979638</v>
      </c>
      <c r="T24" s="8">
        <f t="shared" si="24"/>
        <v>8.9959999999962292</v>
      </c>
      <c r="U24" s="8">
        <f t="shared" si="23"/>
        <v>0.53975999999977375</v>
      </c>
      <c r="V24" s="28">
        <f>(E25-E24)*1000*J24</f>
        <v>44.979999999981146</v>
      </c>
      <c r="W24" s="28">
        <v>0.125</v>
      </c>
      <c r="X24" s="28">
        <f t="shared" si="1"/>
        <v>3.7333399999984351</v>
      </c>
      <c r="Y24" s="8">
        <f t="shared" si="8"/>
        <v>41.246659999982711</v>
      </c>
      <c r="Z24" s="8">
        <f t="shared" si="20"/>
        <v>19.791199999991704</v>
      </c>
      <c r="AA24" s="8">
        <f t="shared" si="3"/>
        <v>24.289199999989819</v>
      </c>
      <c r="AB24" s="8">
        <f t="shared" si="4"/>
        <v>24.289199999989819</v>
      </c>
      <c r="AC24" s="8">
        <f t="shared" si="13"/>
        <v>20.455824479991428</v>
      </c>
    </row>
    <row r="25" spans="1:32" ht="13.8" thickBot="1" x14ac:dyDescent="0.3">
      <c r="A25" s="41"/>
      <c r="B25" s="26" t="s">
        <v>24</v>
      </c>
      <c r="C25" s="26"/>
      <c r="D25" s="40"/>
      <c r="E25" s="34">
        <v>233.187355</v>
      </c>
      <c r="F25" s="9"/>
      <c r="G25" s="9"/>
      <c r="H25" s="9"/>
      <c r="I25" s="9"/>
      <c r="J25" s="9"/>
      <c r="K25" s="9"/>
      <c r="L25" s="9"/>
      <c r="M25" s="9"/>
      <c r="N25" s="29"/>
      <c r="O25" s="29"/>
      <c r="P25" s="29"/>
      <c r="Q25" s="29">
        <f>Q24</f>
        <v>64.77119999997285</v>
      </c>
      <c r="R25" s="9">
        <f t="shared" si="11"/>
        <v>64.77119999997285</v>
      </c>
      <c r="S25" s="9">
        <f>S24</f>
        <v>48.578399999979638</v>
      </c>
      <c r="T25" s="9">
        <f>T24</f>
        <v>8.9959999999962292</v>
      </c>
      <c r="U25" s="9">
        <f>U24</f>
        <v>0.53975999999977375</v>
      </c>
      <c r="V25" s="29">
        <f>V24</f>
        <v>44.979999999981146</v>
      </c>
      <c r="W25" s="29">
        <v>0.125</v>
      </c>
      <c r="X25" s="29">
        <f>X24</f>
        <v>3.7333399999984351</v>
      </c>
      <c r="Y25" s="9">
        <f t="shared" si="8"/>
        <v>41.246659999982711</v>
      </c>
      <c r="Z25" s="9">
        <f>Z24</f>
        <v>19.791199999991704</v>
      </c>
      <c r="AA25" s="9">
        <f>AA24</f>
        <v>24.289199999989819</v>
      </c>
      <c r="AB25" s="9">
        <f>AB24</f>
        <v>24.289199999989819</v>
      </c>
      <c r="AC25" s="9">
        <f t="shared" si="13"/>
        <v>23.524539999990139</v>
      </c>
    </row>
    <row r="26" spans="1:32" ht="13.8" thickBot="1" x14ac:dyDescent="0.3">
      <c r="A26" s="23"/>
      <c r="B26" s="23"/>
      <c r="C26" s="23"/>
      <c r="D26" s="23"/>
      <c r="E26" s="35" t="s">
        <v>25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</row>
    <row r="27" spans="1:32" x14ac:dyDescent="0.25">
      <c r="A27" s="47" t="s">
        <v>50</v>
      </c>
      <c r="B27" s="24" t="s">
        <v>23</v>
      </c>
      <c r="C27" s="24"/>
      <c r="D27" s="44">
        <f>E32-E27</f>
        <v>0.10206700000000002</v>
      </c>
      <c r="E27" s="36">
        <v>0.411219</v>
      </c>
      <c r="F27" s="5">
        <v>3.2</v>
      </c>
      <c r="G27" s="5">
        <v>2.5</v>
      </c>
      <c r="H27" s="5">
        <v>0.2</v>
      </c>
      <c r="I27" s="5">
        <v>0.03</v>
      </c>
      <c r="J27" s="5">
        <f t="shared" ref="J27" si="25">F27-K27</f>
        <v>2.1</v>
      </c>
      <c r="K27" s="5">
        <v>1.1000000000000001</v>
      </c>
      <c r="L27" s="5">
        <f>G27/2</f>
        <v>1.25</v>
      </c>
      <c r="M27" s="5">
        <f t="shared" ref="M27" si="26">G27/2</f>
        <v>1.25</v>
      </c>
      <c r="N27" s="27">
        <f>E28-E27</f>
        <v>2.3000999999999994E-2</v>
      </c>
      <c r="O27" s="27">
        <v>0.104</v>
      </c>
      <c r="P27" s="27">
        <f>((N27*1000)*1.64)*O27</f>
        <v>3.9230505599999983</v>
      </c>
      <c r="Q27" s="27">
        <f>(E28-E27)*1000*F27</f>
        <v>73.603199999999987</v>
      </c>
      <c r="R27" s="5">
        <f t="shared" si="11"/>
        <v>69.680149439999994</v>
      </c>
      <c r="S27" s="5">
        <f t="shared" ref="S27:S33" si="27">(E28-E27)*1000*G27</f>
        <v>57.502499999999984</v>
      </c>
      <c r="T27" s="5">
        <f t="shared" ref="T27:T33" si="28">(E28-E27)*1000*H27</f>
        <v>4.6001999999999992</v>
      </c>
      <c r="U27" s="5">
        <f t="shared" si="23"/>
        <v>0.69002999999999981</v>
      </c>
      <c r="V27" s="27">
        <f>(E28-E27)*1000*J27</f>
        <v>48.302099999999989</v>
      </c>
      <c r="W27" s="27">
        <v>0.125</v>
      </c>
      <c r="X27" s="27">
        <f t="shared" ref="X27:X33" si="29">((N27*1000)*1.66)*W27</f>
        <v>4.7727074999999983</v>
      </c>
      <c r="Y27" s="5">
        <f t="shared" si="8"/>
        <v>43.529392499999993</v>
      </c>
      <c r="Z27" s="5">
        <f t="shared" ref="Z27:Z33" si="30">(E28-E27)*1000*K27</f>
        <v>25.301099999999995</v>
      </c>
      <c r="AA27" s="5">
        <f t="shared" ref="AA27:AA33" si="31">(E28-E27)*1000*L27</f>
        <v>28.751249999999992</v>
      </c>
      <c r="AB27" s="5">
        <f t="shared" ref="AB27:AB33" si="32">(E28-E27)*1000*M27</f>
        <v>28.751249999999992</v>
      </c>
      <c r="AC27" s="5">
        <f t="shared" si="13"/>
        <v>26.150756940000001</v>
      </c>
    </row>
    <row r="28" spans="1:32" x14ac:dyDescent="0.25">
      <c r="A28" s="47"/>
      <c r="B28" s="24" t="s">
        <v>26</v>
      </c>
      <c r="C28" s="24">
        <v>67</v>
      </c>
      <c r="D28" s="48"/>
      <c r="E28" s="31">
        <v>0.43421999999999999</v>
      </c>
      <c r="F28" s="6"/>
      <c r="G28" s="6">
        <v>3</v>
      </c>
      <c r="H28" s="6">
        <v>0.4</v>
      </c>
      <c r="I28" s="6">
        <v>0.03</v>
      </c>
      <c r="J28" s="6"/>
      <c r="K28" s="6">
        <v>0.7</v>
      </c>
      <c r="L28" s="6">
        <f t="shared" ref="L28:L31" si="33">G28/2</f>
        <v>1.5</v>
      </c>
      <c r="M28" s="6">
        <f t="shared" ref="M28:M31" si="34">G28/2</f>
        <v>1.5</v>
      </c>
      <c r="N28" s="28"/>
      <c r="O28" s="28">
        <v>0.104</v>
      </c>
      <c r="P28" s="28"/>
      <c r="Q28" s="28">
        <f>C28</f>
        <v>67</v>
      </c>
      <c r="R28" s="6">
        <f t="shared" si="11"/>
        <v>67</v>
      </c>
      <c r="S28" s="6">
        <f t="shared" si="27"/>
        <v>99.693000000000026</v>
      </c>
      <c r="T28" s="6">
        <f t="shared" si="28"/>
        <v>13.292400000000004</v>
      </c>
      <c r="U28" s="6">
        <f t="shared" si="23"/>
        <v>0.9969300000000002</v>
      </c>
      <c r="V28" s="28">
        <v>67</v>
      </c>
      <c r="W28" s="28">
        <v>0.125</v>
      </c>
      <c r="X28" s="28">
        <f t="shared" si="29"/>
        <v>0</v>
      </c>
      <c r="Y28" s="6">
        <f t="shared" si="8"/>
        <v>67</v>
      </c>
      <c r="Z28" s="6">
        <f t="shared" si="30"/>
        <v>23.261700000000005</v>
      </c>
      <c r="AA28" s="6">
        <f t="shared" si="31"/>
        <v>49.846500000000013</v>
      </c>
      <c r="AB28" s="6">
        <f t="shared" si="32"/>
        <v>49.846500000000013</v>
      </c>
      <c r="AC28" s="6">
        <f>AE28</f>
        <v>60</v>
      </c>
      <c r="AE28">
        <f>1.2*AF28</f>
        <v>60</v>
      </c>
      <c r="AF28">
        <v>50</v>
      </c>
    </row>
    <row r="29" spans="1:32" x14ac:dyDescent="0.25">
      <c r="A29" s="47"/>
      <c r="B29" s="24" t="s">
        <v>27</v>
      </c>
      <c r="C29" s="24"/>
      <c r="D29" s="48"/>
      <c r="E29" s="31">
        <v>0.46745100000000001</v>
      </c>
      <c r="F29" s="6">
        <v>3.2</v>
      </c>
      <c r="G29" s="6">
        <v>2.5</v>
      </c>
      <c r="H29" s="6">
        <v>0.2</v>
      </c>
      <c r="I29" s="6">
        <v>0.03</v>
      </c>
      <c r="J29" s="6">
        <f>F29-K29</f>
        <v>2.1</v>
      </c>
      <c r="K29" s="6">
        <v>1.1000000000000001</v>
      </c>
      <c r="L29" s="6">
        <f t="shared" si="33"/>
        <v>1.25</v>
      </c>
      <c r="M29" s="6">
        <f t="shared" si="34"/>
        <v>1.25</v>
      </c>
      <c r="N29" s="28">
        <f t="shared" ref="N29:N54" si="35">E30-E29</f>
        <v>5.9619999999999673E-3</v>
      </c>
      <c r="O29" s="28">
        <v>0.104</v>
      </c>
      <c r="P29" s="28">
        <f t="shared" ref="P29:P36" si="36">((N29*1000)*1.64)*O29</f>
        <v>1.0168787199999945</v>
      </c>
      <c r="Q29" s="28">
        <f>(E30-E29)*1000*F29</f>
        <v>19.078399999999899</v>
      </c>
      <c r="R29" s="6">
        <f t="shared" si="11"/>
        <v>18.061521279999905</v>
      </c>
      <c r="S29" s="6">
        <f t="shared" si="27"/>
        <v>14.904999999999919</v>
      </c>
      <c r="T29" s="6">
        <f t="shared" si="28"/>
        <v>1.1923999999999937</v>
      </c>
      <c r="U29" s="6">
        <f t="shared" si="23"/>
        <v>0.17885999999999902</v>
      </c>
      <c r="V29" s="28">
        <f>(E30-E29)*1000*J29</f>
        <v>12.520199999999933</v>
      </c>
      <c r="W29" s="28">
        <v>0.125</v>
      </c>
      <c r="X29" s="28">
        <f t="shared" si="29"/>
        <v>1.2371149999999933</v>
      </c>
      <c r="Y29" s="6">
        <f t="shared" si="8"/>
        <v>11.283084999999939</v>
      </c>
      <c r="Z29" s="6">
        <f t="shared" si="30"/>
        <v>6.5581999999999647</v>
      </c>
      <c r="AA29" s="6">
        <f t="shared" si="31"/>
        <v>7.4524999999999597</v>
      </c>
      <c r="AB29" s="6">
        <f t="shared" si="32"/>
        <v>7.4524999999999597</v>
      </c>
      <c r="AC29" s="6">
        <f t="shared" si="13"/>
        <v>6.7784362799999656</v>
      </c>
    </row>
    <row r="30" spans="1:32" x14ac:dyDescent="0.25">
      <c r="A30" s="47"/>
      <c r="B30" s="24" t="s">
        <v>28</v>
      </c>
      <c r="C30" s="24">
        <v>67</v>
      </c>
      <c r="D30" s="48"/>
      <c r="E30" s="31">
        <v>0.47341299999999997</v>
      </c>
      <c r="F30" s="6"/>
      <c r="G30" s="6">
        <v>3</v>
      </c>
      <c r="H30" s="6">
        <v>0.4</v>
      </c>
      <c r="I30" s="6">
        <v>0.03</v>
      </c>
      <c r="J30" s="6"/>
      <c r="K30" s="6">
        <v>0.7</v>
      </c>
      <c r="L30" s="6">
        <f t="shared" si="33"/>
        <v>1.5</v>
      </c>
      <c r="M30" s="6">
        <f t="shared" si="34"/>
        <v>1.5</v>
      </c>
      <c r="N30" s="28"/>
      <c r="O30" s="28">
        <v>0.104</v>
      </c>
      <c r="P30" s="28"/>
      <c r="Q30" s="28">
        <f>C30</f>
        <v>67</v>
      </c>
      <c r="R30" s="6">
        <f t="shared" si="11"/>
        <v>67</v>
      </c>
      <c r="S30" s="6">
        <f t="shared" si="27"/>
        <v>99.689999999999941</v>
      </c>
      <c r="T30" s="6">
        <f t="shared" si="28"/>
        <v>13.291999999999994</v>
      </c>
      <c r="U30" s="6">
        <f t="shared" si="23"/>
        <v>0.99689999999999945</v>
      </c>
      <c r="V30" s="28">
        <v>67</v>
      </c>
      <c r="W30" s="28">
        <v>0.125</v>
      </c>
      <c r="X30" s="28">
        <f t="shared" si="29"/>
        <v>0</v>
      </c>
      <c r="Y30" s="6">
        <f>V30-X30</f>
        <v>67</v>
      </c>
      <c r="Z30" s="6">
        <f t="shared" si="30"/>
        <v>23.260999999999985</v>
      </c>
      <c r="AA30" s="6">
        <f t="shared" si="31"/>
        <v>49.84499999999997</v>
      </c>
      <c r="AB30" s="6">
        <f t="shared" si="32"/>
        <v>49.84499999999997</v>
      </c>
      <c r="AC30" s="6">
        <f>AE30</f>
        <v>60</v>
      </c>
      <c r="AE30">
        <f>1.2*AF30</f>
        <v>60</v>
      </c>
      <c r="AF30">
        <v>50</v>
      </c>
    </row>
    <row r="31" spans="1:32" x14ac:dyDescent="0.25">
      <c r="A31" s="47"/>
      <c r="B31" s="24" t="s">
        <v>29</v>
      </c>
      <c r="C31" s="24"/>
      <c r="D31" s="48"/>
      <c r="E31" s="31">
        <v>0.50664299999999995</v>
      </c>
      <c r="F31" s="6">
        <v>3.5</v>
      </c>
      <c r="G31" s="6">
        <v>3</v>
      </c>
      <c r="H31" s="6">
        <v>0.5</v>
      </c>
      <c r="I31" s="6">
        <v>0.03</v>
      </c>
      <c r="J31" s="6">
        <f>F31-K31</f>
        <v>2.4</v>
      </c>
      <c r="K31" s="6">
        <v>1.1000000000000001</v>
      </c>
      <c r="L31" s="6">
        <f t="shared" si="33"/>
        <v>1.5</v>
      </c>
      <c r="M31" s="6">
        <f t="shared" si="34"/>
        <v>1.5</v>
      </c>
      <c r="N31" s="28">
        <f t="shared" si="35"/>
        <v>6.6430000000000655E-3</v>
      </c>
      <c r="O31" s="28">
        <v>0.104</v>
      </c>
      <c r="P31" s="28">
        <f t="shared" si="36"/>
        <v>1.133030080000011</v>
      </c>
      <c r="Q31" s="28">
        <f>(E32-E31)*1000*F31</f>
        <v>23.25050000000023</v>
      </c>
      <c r="R31" s="6">
        <f t="shared" si="11"/>
        <v>22.117469920000218</v>
      </c>
      <c r="S31" s="6">
        <f t="shared" si="27"/>
        <v>19.929000000000197</v>
      </c>
      <c r="T31" s="6">
        <f t="shared" si="28"/>
        <v>3.3215000000000328</v>
      </c>
      <c r="U31" s="6">
        <f t="shared" ref="U31" si="37">(E32-E31)*1000*I31</f>
        <v>0.19929000000000197</v>
      </c>
      <c r="V31" s="28">
        <f>(E32-E31)*1000*J31</f>
        <v>15.943200000000157</v>
      </c>
      <c r="W31" s="28">
        <v>0.125</v>
      </c>
      <c r="X31" s="28">
        <f t="shared" si="29"/>
        <v>1.3784225000000134</v>
      </c>
      <c r="Y31" s="6">
        <f t="shared" si="8"/>
        <v>14.564777500000144</v>
      </c>
      <c r="Z31" s="6">
        <f t="shared" si="30"/>
        <v>7.3073000000000725</v>
      </c>
      <c r="AA31" s="6">
        <f t="shared" si="31"/>
        <v>9.9645000000000987</v>
      </c>
      <c r="AB31" s="6">
        <f t="shared" si="32"/>
        <v>9.9645000000000987</v>
      </c>
      <c r="AC31" s="6">
        <f t="shared" si="13"/>
        <v>7.5526924200000742</v>
      </c>
    </row>
    <row r="32" spans="1:32" x14ac:dyDescent="0.25">
      <c r="A32" s="46" t="s">
        <v>52</v>
      </c>
      <c r="B32" s="25"/>
      <c r="C32" s="25"/>
      <c r="D32" s="42">
        <f>E33-E32</f>
        <v>0.60626400000000003</v>
      </c>
      <c r="E32" s="32">
        <v>0.51328600000000002</v>
      </c>
      <c r="F32" s="7">
        <v>3.5</v>
      </c>
      <c r="G32" s="7">
        <v>3</v>
      </c>
      <c r="H32" s="7">
        <v>0.5</v>
      </c>
      <c r="I32" s="7">
        <v>0.03</v>
      </c>
      <c r="J32" s="7">
        <f>F32-K32</f>
        <v>2.4</v>
      </c>
      <c r="K32" s="7">
        <v>1.1000000000000001</v>
      </c>
      <c r="L32" s="7">
        <f t="shared" ref="L32" si="38">G32/2</f>
        <v>1.5</v>
      </c>
      <c r="M32" s="7">
        <f t="shared" ref="M32" si="39">G32/2</f>
        <v>1.5</v>
      </c>
      <c r="N32" s="28">
        <f t="shared" si="35"/>
        <v>0.60626400000000003</v>
      </c>
      <c r="O32" s="28">
        <v>0.104</v>
      </c>
      <c r="P32" s="28">
        <f t="shared" si="36"/>
        <v>103.40438784</v>
      </c>
      <c r="Q32" s="28">
        <f>(E33-E32)*1000*F32</f>
        <v>2121.924</v>
      </c>
      <c r="R32" s="7">
        <f t="shared" si="11"/>
        <v>2018.51961216</v>
      </c>
      <c r="S32" s="7">
        <f t="shared" si="27"/>
        <v>1818.7919999999999</v>
      </c>
      <c r="T32" s="7">
        <f t="shared" si="28"/>
        <v>303.13200000000001</v>
      </c>
      <c r="U32" s="7">
        <f t="shared" ref="U32:U33" si="40">(E33-E32)*1000*I32</f>
        <v>18.187919999999998</v>
      </c>
      <c r="V32" s="28">
        <f>(E33-E32)*1000*J32</f>
        <v>1455.0336</v>
      </c>
      <c r="W32" s="28">
        <v>0.125</v>
      </c>
      <c r="X32" s="28">
        <f t="shared" si="29"/>
        <v>125.79978</v>
      </c>
      <c r="Y32" s="7">
        <f t="shared" si="8"/>
        <v>1329.2338199999999</v>
      </c>
      <c r="Z32" s="7">
        <f t="shared" si="30"/>
        <v>666.89040000000011</v>
      </c>
      <c r="AA32" s="7">
        <f t="shared" si="31"/>
        <v>909.39599999999996</v>
      </c>
      <c r="AB32" s="7">
        <f t="shared" si="32"/>
        <v>909.39599999999996</v>
      </c>
      <c r="AC32" s="7">
        <f t="shared" si="13"/>
        <v>689.28579216000003</v>
      </c>
    </row>
    <row r="33" spans="1:29" x14ac:dyDescent="0.25">
      <c r="A33" s="46"/>
      <c r="B33" s="25"/>
      <c r="C33" s="25"/>
      <c r="D33" s="43"/>
      <c r="E33" s="32">
        <v>1.11955</v>
      </c>
      <c r="F33" s="7">
        <v>3.5</v>
      </c>
      <c r="G33" s="7">
        <v>3</v>
      </c>
      <c r="H33" s="7">
        <v>0.5</v>
      </c>
      <c r="I33" s="7">
        <v>0.03</v>
      </c>
      <c r="J33" s="7">
        <f>F33-K33</f>
        <v>2.4</v>
      </c>
      <c r="K33" s="7">
        <v>1.1000000000000001</v>
      </c>
      <c r="L33" s="7">
        <f t="shared" ref="L33" si="41">G33/2</f>
        <v>1.5</v>
      </c>
      <c r="M33" s="7">
        <f t="shared" ref="M33" si="42">G33/2</f>
        <v>1.5</v>
      </c>
      <c r="N33" s="28">
        <f t="shared" si="35"/>
        <v>9.6249999999999947E-3</v>
      </c>
      <c r="O33" s="28">
        <v>0.104</v>
      </c>
      <c r="P33" s="28">
        <f t="shared" si="36"/>
        <v>1.6416399999999989</v>
      </c>
      <c r="Q33" s="28">
        <f>(E34-E33)*1000*F33</f>
        <v>33.687499999999979</v>
      </c>
      <c r="R33" s="7">
        <f t="shared" si="11"/>
        <v>32.045859999999976</v>
      </c>
      <c r="S33" s="7">
        <f t="shared" si="27"/>
        <v>28.874999999999986</v>
      </c>
      <c r="T33" s="7">
        <f t="shared" si="28"/>
        <v>4.8124999999999973</v>
      </c>
      <c r="U33" s="7">
        <f t="shared" si="40"/>
        <v>0.28874999999999984</v>
      </c>
      <c r="V33" s="28">
        <f>(E34-E33)*1000*J33</f>
        <v>23.099999999999987</v>
      </c>
      <c r="W33" s="28">
        <v>0.125</v>
      </c>
      <c r="X33" s="28">
        <f t="shared" si="29"/>
        <v>1.9971874999999988</v>
      </c>
      <c r="Y33" s="7">
        <f t="shared" si="8"/>
        <v>21.102812499999988</v>
      </c>
      <c r="Z33" s="7">
        <f t="shared" si="30"/>
        <v>10.587499999999995</v>
      </c>
      <c r="AA33" s="7">
        <f t="shared" si="31"/>
        <v>14.437499999999993</v>
      </c>
      <c r="AB33" s="7">
        <f t="shared" si="32"/>
        <v>14.437499999999993</v>
      </c>
      <c r="AC33" s="7">
        <f t="shared" si="13"/>
        <v>10.943047499999988</v>
      </c>
    </row>
    <row r="34" spans="1:29" ht="13.8" thickBot="1" x14ac:dyDescent="0.3">
      <c r="A34" s="24" t="s">
        <v>50</v>
      </c>
      <c r="B34" s="24" t="s">
        <v>12</v>
      </c>
      <c r="C34" s="24"/>
      <c r="D34" s="30">
        <f>E34-E33</f>
        <v>9.6249999999999947E-3</v>
      </c>
      <c r="E34" s="37">
        <v>1.129175</v>
      </c>
      <c r="F34" s="11"/>
      <c r="G34" s="11"/>
      <c r="H34" s="11"/>
      <c r="I34" s="11"/>
      <c r="J34" s="11"/>
      <c r="K34" s="11"/>
      <c r="L34" s="11"/>
      <c r="M34" s="11"/>
      <c r="N34" s="29"/>
      <c r="O34" s="29"/>
      <c r="P34" s="29"/>
      <c r="Q34" s="29">
        <f>Q33</f>
        <v>33.687499999999979</v>
      </c>
      <c r="R34" s="11">
        <f t="shared" si="11"/>
        <v>33.687499999999979</v>
      </c>
      <c r="S34" s="11">
        <f>S33</f>
        <v>28.874999999999986</v>
      </c>
      <c r="T34" s="11">
        <f>T33</f>
        <v>4.8124999999999973</v>
      </c>
      <c r="U34" s="11">
        <f>U33</f>
        <v>0.28874999999999984</v>
      </c>
      <c r="V34" s="29">
        <f>V33</f>
        <v>23.099999999999987</v>
      </c>
      <c r="W34" s="29">
        <v>0.125</v>
      </c>
      <c r="X34" s="29">
        <f>X33</f>
        <v>1.9971874999999988</v>
      </c>
      <c r="Y34" s="11">
        <f t="shared" si="8"/>
        <v>21.102812499999988</v>
      </c>
      <c r="Z34" s="11">
        <f>Z33</f>
        <v>10.587499999999995</v>
      </c>
      <c r="AA34" s="11">
        <f>AA33</f>
        <v>14.437499999999993</v>
      </c>
      <c r="AB34" s="11">
        <f>AB33</f>
        <v>14.437499999999993</v>
      </c>
      <c r="AC34" s="11">
        <f t="shared" si="13"/>
        <v>12.58468749999999</v>
      </c>
    </row>
    <row r="35" spans="1:29" ht="13.8" thickBot="1" x14ac:dyDescent="0.3">
      <c r="A35" s="23"/>
      <c r="B35" s="23"/>
      <c r="C35" s="23"/>
      <c r="D35" s="23"/>
      <c r="E35" s="35" t="s">
        <v>30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</row>
    <row r="36" spans="1:29" x14ac:dyDescent="0.25">
      <c r="A36" s="41" t="s">
        <v>53</v>
      </c>
      <c r="B36" s="26" t="str">
        <f>B18</f>
        <v>KV75</v>
      </c>
      <c r="C36" s="26"/>
      <c r="D36" s="39">
        <f>E37-E36</f>
        <v>0.14507299999999645</v>
      </c>
      <c r="E36" s="38">
        <f>E18</f>
        <v>233.03127700000002</v>
      </c>
      <c r="F36" s="12">
        <v>3.6</v>
      </c>
      <c r="G36" s="12">
        <v>2.6</v>
      </c>
      <c r="H36" s="12">
        <v>0.7</v>
      </c>
      <c r="I36" s="12">
        <v>0.03</v>
      </c>
      <c r="J36" s="12">
        <f>F36-K36</f>
        <v>2.5</v>
      </c>
      <c r="K36" s="12">
        <v>1.1000000000000001</v>
      </c>
      <c r="L36" s="12">
        <f t="shared" ref="L36" si="43">G36/2</f>
        <v>1.3</v>
      </c>
      <c r="M36" s="12">
        <f t="shared" ref="M36" si="44">G36/2</f>
        <v>1.3</v>
      </c>
      <c r="N36" s="27">
        <f t="shared" si="35"/>
        <v>0.14507299999999645</v>
      </c>
      <c r="O36" s="27">
        <v>0.104</v>
      </c>
      <c r="P36" s="27">
        <f t="shared" si="36"/>
        <v>24.743650879999393</v>
      </c>
      <c r="Q36" s="27">
        <f>(E37-E36)*1000*F36</f>
        <v>522.26279999998724</v>
      </c>
      <c r="R36" s="12">
        <f t="shared" si="11"/>
        <v>497.51914911998784</v>
      </c>
      <c r="S36" s="12">
        <f>(E37-E36)*1000*G36</f>
        <v>377.18979999999078</v>
      </c>
      <c r="T36" s="12">
        <f>(E37-E36)*1000*H36</f>
        <v>101.55109999999752</v>
      </c>
      <c r="U36" s="12">
        <f t="shared" si="23"/>
        <v>4.3521899999998936</v>
      </c>
      <c r="V36" s="27">
        <f>(E37-E36)*1000*J36</f>
        <v>362.68249999999114</v>
      </c>
      <c r="W36" s="27">
        <v>0.125</v>
      </c>
      <c r="X36" s="27">
        <f>((N36*1000)*1.66)*W36</f>
        <v>30.102647499999264</v>
      </c>
      <c r="Y36" s="12">
        <f t="shared" si="8"/>
        <v>332.57985249999189</v>
      </c>
      <c r="Z36" s="12">
        <f>(E37-E36)*1000*K36</f>
        <v>159.5802999999961</v>
      </c>
      <c r="AA36" s="12">
        <f>(E37-E36)*1000*L36</f>
        <v>188.59489999999539</v>
      </c>
      <c r="AB36" s="12">
        <f>(E37-E36)*1000*M36</f>
        <v>188.59489999999539</v>
      </c>
      <c r="AC36" s="12">
        <f t="shared" si="13"/>
        <v>164.93929661999596</v>
      </c>
    </row>
    <row r="37" spans="1:29" ht="13.8" thickBot="1" x14ac:dyDescent="0.3">
      <c r="A37" s="41"/>
      <c r="B37" s="26" t="s">
        <v>31</v>
      </c>
      <c r="C37" s="26"/>
      <c r="D37" s="40"/>
      <c r="E37" s="34">
        <v>233.17635000000001</v>
      </c>
      <c r="F37" s="9"/>
      <c r="G37" s="9"/>
      <c r="H37" s="9"/>
      <c r="I37" s="9"/>
      <c r="J37" s="9"/>
      <c r="K37" s="9"/>
      <c r="L37" s="9"/>
      <c r="M37" s="9"/>
      <c r="N37" s="29"/>
      <c r="O37" s="29"/>
      <c r="P37" s="29"/>
      <c r="Q37" s="29">
        <f>Q36</f>
        <v>522.26279999998724</v>
      </c>
      <c r="R37" s="9">
        <f t="shared" si="11"/>
        <v>522.26279999998724</v>
      </c>
      <c r="S37" s="9">
        <f>S36</f>
        <v>377.18979999999078</v>
      </c>
      <c r="T37" s="9">
        <f>T36</f>
        <v>101.55109999999752</v>
      </c>
      <c r="U37" s="9">
        <f>U36</f>
        <v>4.3521899999998936</v>
      </c>
      <c r="V37" s="29">
        <f>V36</f>
        <v>362.68249999999114</v>
      </c>
      <c r="W37" s="29">
        <v>0.125</v>
      </c>
      <c r="X37" s="29">
        <f>X36</f>
        <v>30.102647499999264</v>
      </c>
      <c r="Y37" s="9">
        <f t="shared" si="8"/>
        <v>332.57985249999189</v>
      </c>
      <c r="Z37" s="9">
        <f>Z36</f>
        <v>159.5802999999961</v>
      </c>
      <c r="AA37" s="9">
        <f>AA36</f>
        <v>188.59489999999539</v>
      </c>
      <c r="AB37" s="9">
        <f>AB36</f>
        <v>188.59489999999539</v>
      </c>
      <c r="AC37" s="9">
        <f t="shared" si="13"/>
        <v>189.68294749999535</v>
      </c>
    </row>
    <row r="38" spans="1:29" ht="13.8" thickBot="1" x14ac:dyDescent="0.3">
      <c r="A38" s="23"/>
      <c r="B38" s="23"/>
      <c r="C38" s="23"/>
      <c r="D38" s="23"/>
      <c r="E38" s="35" t="s">
        <v>34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</row>
    <row r="39" spans="1:29" x14ac:dyDescent="0.25">
      <c r="A39" s="41" t="s">
        <v>53</v>
      </c>
      <c r="B39" s="26" t="s">
        <v>23</v>
      </c>
      <c r="C39" s="26"/>
      <c r="D39" s="39">
        <f>E40-E39</f>
        <v>2.1412E-2</v>
      </c>
      <c r="E39" s="38">
        <v>0</v>
      </c>
      <c r="F39" s="12">
        <v>2.2999999999999998</v>
      </c>
      <c r="G39" s="12">
        <v>2.1</v>
      </c>
      <c r="H39" s="12"/>
      <c r="I39" s="12"/>
      <c r="J39" s="12">
        <f t="shared" ref="J39" si="45">F39-K39</f>
        <v>1.1999999999999997</v>
      </c>
      <c r="K39" s="12">
        <v>1.1000000000000001</v>
      </c>
      <c r="L39" s="12">
        <f t="shared" ref="L39" si="46">G39/2</f>
        <v>1.05</v>
      </c>
      <c r="M39" s="12">
        <f t="shared" ref="M39" si="47">G39/2</f>
        <v>1.05</v>
      </c>
      <c r="N39" s="27">
        <f>E40-E39</f>
        <v>2.1412E-2</v>
      </c>
      <c r="O39" s="27">
        <v>0.104</v>
      </c>
      <c r="P39" s="27">
        <f t="shared" ref="P39" si="48">((N39*1000)*1.64)*O39</f>
        <v>3.6520307199999995</v>
      </c>
      <c r="Q39" s="27">
        <f>(E40-E39)*1000*F39</f>
        <v>49.247599999999991</v>
      </c>
      <c r="R39" s="12">
        <f t="shared" si="11"/>
        <v>45.595569279999992</v>
      </c>
      <c r="S39" s="12">
        <f>(E40-E39)*1000*G39</f>
        <v>44.965200000000003</v>
      </c>
      <c r="T39" s="12"/>
      <c r="U39" s="12"/>
      <c r="V39" s="27">
        <f>(E40-E39)*1000*J39</f>
        <v>25.694399999999995</v>
      </c>
      <c r="W39" s="27">
        <v>0.125</v>
      </c>
      <c r="X39" s="27">
        <f>((N39*1000)*1.66)*W39</f>
        <v>4.44299</v>
      </c>
      <c r="Y39" s="12">
        <f t="shared" si="8"/>
        <v>21.251409999999993</v>
      </c>
      <c r="Z39" s="12">
        <f>(E40-E39)*1000*K39</f>
        <v>23.5532</v>
      </c>
      <c r="AA39" s="12">
        <f>(E40-E39)*1000*L39</f>
        <v>22.482600000000001</v>
      </c>
      <c r="AB39" s="12">
        <f>(E40-E39)*1000*M39</f>
        <v>22.482600000000001</v>
      </c>
      <c r="AC39" s="12">
        <f t="shared" si="13"/>
        <v>24.34415928</v>
      </c>
    </row>
    <row r="40" spans="1:29" ht="13.8" thickBot="1" x14ac:dyDescent="0.3">
      <c r="A40" s="41"/>
      <c r="B40" s="26" t="s">
        <v>15</v>
      </c>
      <c r="C40" s="26"/>
      <c r="D40" s="40"/>
      <c r="E40" s="34">
        <v>2.1412E-2</v>
      </c>
      <c r="F40" s="9"/>
      <c r="G40" s="9"/>
      <c r="H40" s="9"/>
      <c r="I40" s="9"/>
      <c r="J40" s="9"/>
      <c r="K40" s="9"/>
      <c r="L40" s="9"/>
      <c r="M40" s="9"/>
      <c r="N40" s="29"/>
      <c r="O40" s="29"/>
      <c r="P40" s="29"/>
      <c r="Q40" s="29">
        <f>Q39</f>
        <v>49.247599999999991</v>
      </c>
      <c r="R40" s="9">
        <f t="shared" si="11"/>
        <v>49.247599999999991</v>
      </c>
      <c r="S40" s="9">
        <f>S39</f>
        <v>44.965200000000003</v>
      </c>
      <c r="T40" s="9"/>
      <c r="U40" s="9"/>
      <c r="V40" s="29">
        <f>V39</f>
        <v>25.694399999999995</v>
      </c>
      <c r="W40" s="29">
        <v>0.125</v>
      </c>
      <c r="X40" s="29">
        <f>X39</f>
        <v>4.44299</v>
      </c>
      <c r="Y40" s="9">
        <f t="shared" si="8"/>
        <v>21.251409999999993</v>
      </c>
      <c r="Z40" s="9">
        <f>Z39</f>
        <v>23.5532</v>
      </c>
      <c r="AA40" s="9">
        <f>AA39</f>
        <v>22.482600000000001</v>
      </c>
      <c r="AB40" s="9">
        <f>AB39</f>
        <v>22.482600000000001</v>
      </c>
      <c r="AC40" s="9">
        <f t="shared" si="13"/>
        <v>27.996189999999999</v>
      </c>
    </row>
    <row r="41" spans="1:29" ht="13.8" thickBot="1" x14ac:dyDescent="0.3">
      <c r="A41" s="23"/>
      <c r="B41" s="23"/>
      <c r="C41" s="23"/>
      <c r="D41" s="23"/>
      <c r="E41" s="35" t="s">
        <v>33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</row>
    <row r="42" spans="1:29" x14ac:dyDescent="0.25">
      <c r="A42" s="41" t="s">
        <v>53</v>
      </c>
      <c r="B42" s="26" t="s">
        <v>23</v>
      </c>
      <c r="C42" s="26"/>
      <c r="D42" s="39">
        <f>E43-E42</f>
        <v>8.7097999999999995E-2</v>
      </c>
      <c r="E42" s="38">
        <v>0</v>
      </c>
      <c r="F42" s="12">
        <v>2.2999999999999998</v>
      </c>
      <c r="G42" s="12">
        <v>2.1</v>
      </c>
      <c r="H42" s="12"/>
      <c r="I42" s="12"/>
      <c r="J42" s="12">
        <f t="shared" ref="J42" si="49">F42-K42</f>
        <v>1.1999999999999997</v>
      </c>
      <c r="K42" s="12">
        <v>1.1000000000000001</v>
      </c>
      <c r="L42" s="12">
        <f t="shared" ref="L42" si="50">G42/2</f>
        <v>1.05</v>
      </c>
      <c r="M42" s="12">
        <f t="shared" ref="M42" si="51">G42/2</f>
        <v>1.05</v>
      </c>
      <c r="N42" s="27">
        <f t="shared" si="35"/>
        <v>8.7097999999999995E-2</v>
      </c>
      <c r="O42" s="27">
        <v>0.104</v>
      </c>
      <c r="P42" s="27">
        <f t="shared" ref="P42" si="52">((N42*1000)*1.64)*O42</f>
        <v>14.855434879999997</v>
      </c>
      <c r="Q42" s="27">
        <f>(E43-E42)*1000*F42</f>
        <v>200.32539999999997</v>
      </c>
      <c r="R42" s="12">
        <f t="shared" si="11"/>
        <v>185.46996511999998</v>
      </c>
      <c r="S42" s="12">
        <f>(E43-E42)*1000*G42</f>
        <v>182.9058</v>
      </c>
      <c r="T42" s="12"/>
      <c r="U42" s="12"/>
      <c r="V42" s="27">
        <f>(E43-E42)*1000*J42</f>
        <v>104.51759999999997</v>
      </c>
      <c r="W42" s="27">
        <v>0.125</v>
      </c>
      <c r="X42" s="27">
        <f>((N42*1000)*1.66)*W42</f>
        <v>18.072834999999998</v>
      </c>
      <c r="Y42" s="12">
        <f t="shared" si="8"/>
        <v>86.444764999999975</v>
      </c>
      <c r="Z42" s="12">
        <f>(E43-E42)*1000*K42</f>
        <v>95.8078</v>
      </c>
      <c r="AA42" s="12">
        <f>(E43-E42)*1000*L42</f>
        <v>91.4529</v>
      </c>
      <c r="AB42" s="12">
        <f>(E43-E42)*1000*M42</f>
        <v>91.4529</v>
      </c>
      <c r="AC42" s="12">
        <f t="shared" si="13"/>
        <v>99.025200120000008</v>
      </c>
    </row>
    <row r="43" spans="1:29" ht="13.8" thickBot="1" x14ac:dyDescent="0.3">
      <c r="A43" s="41"/>
      <c r="B43" s="26" t="s">
        <v>36</v>
      </c>
      <c r="C43" s="26">
        <v>67</v>
      </c>
      <c r="D43" s="40"/>
      <c r="E43" s="34">
        <v>8.7097999999999995E-2</v>
      </c>
      <c r="F43" s="9"/>
      <c r="G43" s="9"/>
      <c r="H43" s="9"/>
      <c r="I43" s="9"/>
      <c r="J43" s="9"/>
      <c r="K43" s="9"/>
      <c r="L43" s="9"/>
      <c r="M43" s="9"/>
      <c r="N43" s="29"/>
      <c r="O43" s="29"/>
      <c r="P43" s="29"/>
      <c r="Q43" s="29">
        <f>C43</f>
        <v>67</v>
      </c>
      <c r="R43" s="9">
        <f>R42</f>
        <v>185.46996511999998</v>
      </c>
      <c r="S43" s="9">
        <f>S42</f>
        <v>182.9058</v>
      </c>
      <c r="T43" s="9"/>
      <c r="U43" s="9"/>
      <c r="V43" s="29">
        <f>V42</f>
        <v>104.51759999999997</v>
      </c>
      <c r="W43" s="29">
        <v>0.125</v>
      </c>
      <c r="X43" s="29">
        <f>X42</f>
        <v>18.072834999999998</v>
      </c>
      <c r="Y43" s="9">
        <f>V43-X43</f>
        <v>86.444764999999975</v>
      </c>
      <c r="Z43" s="9">
        <f>Z42</f>
        <v>95.8078</v>
      </c>
      <c r="AA43" s="9">
        <f>AA42</f>
        <v>91.4529</v>
      </c>
      <c r="AB43" s="9">
        <f>AB42</f>
        <v>91.4529</v>
      </c>
      <c r="AC43" s="9">
        <f>R43-Y43</f>
        <v>99.025200120000008</v>
      </c>
    </row>
    <row r="44" spans="1:29" ht="13.8" thickBot="1" x14ac:dyDescent="0.3">
      <c r="A44" s="23"/>
      <c r="B44" s="23"/>
      <c r="C44" s="23"/>
      <c r="D44" s="23"/>
      <c r="E44" s="35" t="s">
        <v>32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</row>
    <row r="45" spans="1:29" x14ac:dyDescent="0.25">
      <c r="A45" s="41" t="s">
        <v>53</v>
      </c>
      <c r="B45" s="26" t="s">
        <v>23</v>
      </c>
      <c r="C45" s="26"/>
      <c r="D45" s="39">
        <f>E46-E45</f>
        <v>4.9276E-2</v>
      </c>
      <c r="E45" s="38">
        <v>0</v>
      </c>
      <c r="F45" s="12">
        <v>2.6</v>
      </c>
      <c r="G45" s="12">
        <v>3.4</v>
      </c>
      <c r="H45" s="12">
        <v>0.3</v>
      </c>
      <c r="I45" s="12">
        <v>0.03</v>
      </c>
      <c r="J45" s="12">
        <f t="shared" ref="J45" si="53">F45-K45</f>
        <v>1.5</v>
      </c>
      <c r="K45" s="12">
        <v>1.1000000000000001</v>
      </c>
      <c r="L45" s="12">
        <f t="shared" ref="L45" si="54">G45/2</f>
        <v>1.7</v>
      </c>
      <c r="M45" s="12">
        <f t="shared" ref="M45" si="55">G45/2</f>
        <v>1.7</v>
      </c>
      <c r="N45" s="27">
        <f t="shared" si="35"/>
        <v>4.9276E-2</v>
      </c>
      <c r="O45" s="27">
        <v>0.104</v>
      </c>
      <c r="P45" s="27">
        <f t="shared" ref="P45" si="56">((N45*1000)*1.64)*O45</f>
        <v>8.4045145599999991</v>
      </c>
      <c r="Q45" s="27">
        <f>(E46-E45)*1000*F45</f>
        <v>128.11760000000001</v>
      </c>
      <c r="R45" s="12">
        <f t="shared" si="11"/>
        <v>119.71308544000001</v>
      </c>
      <c r="S45" s="12">
        <f>(E46-E45)*1000*G45</f>
        <v>167.5384</v>
      </c>
      <c r="T45" s="12">
        <f>(E46-E45)*1000*H45</f>
        <v>14.7828</v>
      </c>
      <c r="U45" s="12">
        <f t="shared" si="23"/>
        <v>1.47828</v>
      </c>
      <c r="V45" s="27">
        <f>(E46-E45)*1000*J45</f>
        <v>73.914000000000001</v>
      </c>
      <c r="W45" s="27">
        <v>0.125</v>
      </c>
      <c r="X45" s="27">
        <f>((N45*1000)*1.66)*W45</f>
        <v>10.224769999999999</v>
      </c>
      <c r="Y45" s="12">
        <f t="shared" si="8"/>
        <v>63.689230000000002</v>
      </c>
      <c r="Z45" s="12">
        <f>(E46-E45)*1000*K45</f>
        <v>54.203600000000009</v>
      </c>
      <c r="AA45" s="12">
        <f>(E46-E45)*1000*L45</f>
        <v>83.769199999999998</v>
      </c>
      <c r="AB45" s="12">
        <f>(E46-E45)*1000*M45</f>
        <v>83.769199999999998</v>
      </c>
      <c r="AC45" s="12">
        <f t="shared" si="13"/>
        <v>56.023855440000013</v>
      </c>
    </row>
    <row r="46" spans="1:29" ht="13.8" thickBot="1" x14ac:dyDescent="0.3">
      <c r="A46" s="41"/>
      <c r="B46" s="26" t="s">
        <v>45</v>
      </c>
      <c r="C46" s="26"/>
      <c r="D46" s="40"/>
      <c r="E46" s="34">
        <v>4.9276E-2</v>
      </c>
      <c r="F46" s="9"/>
      <c r="G46" s="9"/>
      <c r="H46" s="9"/>
      <c r="I46" s="9"/>
      <c r="J46" s="9"/>
      <c r="K46" s="9"/>
      <c r="L46" s="9"/>
      <c r="M46" s="9"/>
      <c r="N46" s="29"/>
      <c r="O46" s="29"/>
      <c r="P46" s="29"/>
      <c r="Q46" s="29">
        <f>Q45</f>
        <v>128.11760000000001</v>
      </c>
      <c r="R46" s="9">
        <f>Q46-P46</f>
        <v>128.11760000000001</v>
      </c>
      <c r="S46" s="9">
        <f>S45</f>
        <v>167.5384</v>
      </c>
      <c r="T46" s="9">
        <f>T45</f>
        <v>14.7828</v>
      </c>
      <c r="U46" s="9">
        <f>U45</f>
        <v>1.47828</v>
      </c>
      <c r="V46" s="29">
        <f>V45</f>
        <v>73.914000000000001</v>
      </c>
      <c r="W46" s="29">
        <v>0.125</v>
      </c>
      <c r="X46" s="29">
        <f>X45</f>
        <v>10.224769999999999</v>
      </c>
      <c r="Y46" s="9">
        <f t="shared" si="8"/>
        <v>63.689230000000002</v>
      </c>
      <c r="Z46" s="9">
        <f>Z45</f>
        <v>54.203600000000009</v>
      </c>
      <c r="AA46" s="9">
        <f>AA45</f>
        <v>83.769199999999998</v>
      </c>
      <c r="AB46" s="9">
        <f>AB45</f>
        <v>83.769199999999998</v>
      </c>
      <c r="AC46" s="9">
        <f t="shared" si="13"/>
        <v>64.428370000000001</v>
      </c>
    </row>
    <row r="47" spans="1:29" ht="13.8" thickBot="1" x14ac:dyDescent="0.3">
      <c r="A47" s="23"/>
      <c r="B47" s="23"/>
      <c r="C47" s="23"/>
      <c r="D47" s="23"/>
      <c r="E47" s="35" t="s">
        <v>35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</row>
    <row r="48" spans="1:29" x14ac:dyDescent="0.25">
      <c r="A48" s="41" t="s">
        <v>53</v>
      </c>
      <c r="B48" s="26" t="s">
        <v>23</v>
      </c>
      <c r="C48" s="26"/>
      <c r="D48" s="39">
        <f>E51-E48</f>
        <v>7.0971000000000006E-2</v>
      </c>
      <c r="E48" s="38">
        <v>0</v>
      </c>
      <c r="F48" s="12">
        <v>2.6</v>
      </c>
      <c r="G48" s="12">
        <v>3.4</v>
      </c>
      <c r="H48" s="12">
        <v>0.3</v>
      </c>
      <c r="I48" s="12">
        <v>0.03</v>
      </c>
      <c r="J48" s="12">
        <f t="shared" ref="J48:J50" si="57">F48-K48</f>
        <v>1.5</v>
      </c>
      <c r="K48" s="12">
        <v>1.1000000000000001</v>
      </c>
      <c r="L48" s="12">
        <f t="shared" ref="L48:L50" si="58">G48/2</f>
        <v>1.7</v>
      </c>
      <c r="M48" s="12">
        <f t="shared" ref="M48:M50" si="59">G48/2</f>
        <v>1.7</v>
      </c>
      <c r="N48" s="27">
        <f t="shared" si="35"/>
        <v>2.5114000000000001E-2</v>
      </c>
      <c r="O48" s="27">
        <v>0.104</v>
      </c>
      <c r="P48" s="27">
        <f t="shared" ref="P48:P50" si="60">((N48*1000)*1.64)*O48</f>
        <v>4.2834438399999994</v>
      </c>
      <c r="Q48" s="27">
        <f>(E49-E48)*1000*F48</f>
        <v>65.296400000000006</v>
      </c>
      <c r="R48" s="12">
        <f t="shared" si="11"/>
        <v>61.012956160000009</v>
      </c>
      <c r="S48" s="12">
        <f>(E49-E48)*1000*G48</f>
        <v>85.387600000000006</v>
      </c>
      <c r="T48" s="12">
        <f>(E49-E48)*1000*H48</f>
        <v>7.5342000000000002</v>
      </c>
      <c r="U48" s="12">
        <f t="shared" si="23"/>
        <v>0.75341999999999998</v>
      </c>
      <c r="V48" s="27">
        <f>(E49-E48)*1000*J48</f>
        <v>37.670999999999999</v>
      </c>
      <c r="W48" s="27">
        <v>0.125</v>
      </c>
      <c r="X48" s="27">
        <f>((N48*1000)*1.66)*W48</f>
        <v>5.2111549999999998</v>
      </c>
      <c r="Y48" s="12">
        <f t="shared" si="8"/>
        <v>32.459845000000001</v>
      </c>
      <c r="Z48" s="12">
        <f>(E49-E48)*1000*K48</f>
        <v>27.625400000000003</v>
      </c>
      <c r="AA48" s="12">
        <f>(E49-E48)*1000*L48</f>
        <v>42.693800000000003</v>
      </c>
      <c r="AB48" s="12">
        <f>(E49-E48)*1000*M48</f>
        <v>42.693800000000003</v>
      </c>
      <c r="AC48" s="12">
        <f t="shared" si="13"/>
        <v>28.553111160000007</v>
      </c>
    </row>
    <row r="49" spans="1:29" x14ac:dyDescent="0.25">
      <c r="A49" s="41"/>
      <c r="B49" s="26" t="s">
        <v>46</v>
      </c>
      <c r="C49" s="26">
        <v>58</v>
      </c>
      <c r="D49" s="40"/>
      <c r="E49" s="33">
        <v>2.5114000000000001E-2</v>
      </c>
      <c r="F49" s="8"/>
      <c r="G49" s="8">
        <v>3</v>
      </c>
      <c r="H49" s="8">
        <v>0.4</v>
      </c>
      <c r="I49" s="8">
        <v>0.03</v>
      </c>
      <c r="J49" s="8"/>
      <c r="K49" s="8">
        <v>0.7</v>
      </c>
      <c r="L49" s="8">
        <f t="shared" si="58"/>
        <v>1.5</v>
      </c>
      <c r="M49" s="8">
        <f t="shared" si="59"/>
        <v>1.5</v>
      </c>
      <c r="N49" s="28"/>
      <c r="O49" s="28">
        <v>0.104</v>
      </c>
      <c r="P49" s="28">
        <f t="shared" si="60"/>
        <v>0</v>
      </c>
      <c r="Q49" s="28">
        <f>C49</f>
        <v>58</v>
      </c>
      <c r="R49" s="8">
        <f t="shared" si="11"/>
        <v>58</v>
      </c>
      <c r="S49" s="8">
        <f>(E50-E49)*1000*G49</f>
        <v>99.692999999999984</v>
      </c>
      <c r="T49" s="8">
        <f>(E50-E49)*1000*H49</f>
        <v>13.292399999999999</v>
      </c>
      <c r="U49" s="8">
        <f t="shared" si="23"/>
        <v>0.99692999999999976</v>
      </c>
      <c r="V49" s="28">
        <f>(E50-E49)*1000*J49</f>
        <v>0</v>
      </c>
      <c r="W49" s="28">
        <v>0.125</v>
      </c>
      <c r="X49" s="28">
        <f>((N49*1000)*1.66)*W49</f>
        <v>0</v>
      </c>
      <c r="Y49" s="8">
        <f t="shared" si="8"/>
        <v>0</v>
      </c>
      <c r="Z49" s="8">
        <f>(E50-E49)*1000*K49</f>
        <v>23.261699999999994</v>
      </c>
      <c r="AA49" s="8">
        <f>(E50-E49)*1000*L49</f>
        <v>49.846499999999992</v>
      </c>
      <c r="AB49" s="8">
        <f>(E50-E49)*1000*M49</f>
        <v>49.846499999999992</v>
      </c>
      <c r="AC49" s="8">
        <f t="shared" si="13"/>
        <v>58</v>
      </c>
    </row>
    <row r="50" spans="1:29" x14ac:dyDescent="0.25">
      <c r="A50" s="41"/>
      <c r="B50" s="26" t="s">
        <v>47</v>
      </c>
      <c r="C50" s="26"/>
      <c r="D50" s="40"/>
      <c r="E50" s="33">
        <v>5.8345000000000001E-2</v>
      </c>
      <c r="F50" s="8">
        <v>2.6</v>
      </c>
      <c r="G50" s="8">
        <v>3.4</v>
      </c>
      <c r="H50" s="8">
        <v>0.3</v>
      </c>
      <c r="I50" s="8">
        <v>0.03</v>
      </c>
      <c r="J50" s="8">
        <f t="shared" si="57"/>
        <v>1.5</v>
      </c>
      <c r="K50" s="8">
        <v>1.1000000000000001</v>
      </c>
      <c r="L50" s="8">
        <f t="shared" si="58"/>
        <v>1.7</v>
      </c>
      <c r="M50" s="8">
        <f t="shared" si="59"/>
        <v>1.7</v>
      </c>
      <c r="N50" s="28">
        <f t="shared" si="35"/>
        <v>1.2626000000000005E-2</v>
      </c>
      <c r="O50" s="28">
        <v>0.104</v>
      </c>
      <c r="P50" s="28">
        <f t="shared" si="60"/>
        <v>2.1534905600000007</v>
      </c>
      <c r="Q50" s="28">
        <f>(E51-E50)*1000*F50</f>
        <v>32.827600000000011</v>
      </c>
      <c r="R50" s="8">
        <f t="shared" si="11"/>
        <v>30.674109440000009</v>
      </c>
      <c r="S50" s="8">
        <f>(E51-E50)*1000*G50</f>
        <v>42.928400000000018</v>
      </c>
      <c r="T50" s="8">
        <f>(E51-E50)*1000*H50</f>
        <v>3.7878000000000012</v>
      </c>
      <c r="U50" s="8">
        <f t="shared" si="23"/>
        <v>0.37878000000000012</v>
      </c>
      <c r="V50" s="28">
        <f>(E51-E50)*1000*J50</f>
        <v>18.939000000000007</v>
      </c>
      <c r="W50" s="28">
        <v>0.125</v>
      </c>
      <c r="X50" s="28">
        <f>((N50*1000)*1.66)*W50</f>
        <v>2.619895000000001</v>
      </c>
      <c r="Y50" s="8">
        <f t="shared" si="8"/>
        <v>16.319105000000008</v>
      </c>
      <c r="Z50" s="8">
        <f>(E51-E50)*1000*K50</f>
        <v>13.888600000000006</v>
      </c>
      <c r="AA50" s="8">
        <f>(E51-E50)*1000*L50</f>
        <v>21.464200000000009</v>
      </c>
      <c r="AB50" s="8">
        <f>(E51-E50)*1000*M50</f>
        <v>21.464200000000009</v>
      </c>
      <c r="AC50" s="8">
        <f t="shared" si="13"/>
        <v>14.355004440000002</v>
      </c>
    </row>
    <row r="51" spans="1:29" ht="13.8" thickBot="1" x14ac:dyDescent="0.3">
      <c r="A51" s="41"/>
      <c r="B51" s="26" t="s">
        <v>17</v>
      </c>
      <c r="C51" s="26"/>
      <c r="D51" s="40"/>
      <c r="E51" s="34">
        <v>7.0971000000000006E-2</v>
      </c>
      <c r="F51" s="9"/>
      <c r="G51" s="9"/>
      <c r="H51" s="9"/>
      <c r="I51" s="9"/>
      <c r="J51" s="9"/>
      <c r="K51" s="9"/>
      <c r="L51" s="9"/>
      <c r="M51" s="9"/>
      <c r="N51" s="29"/>
      <c r="O51" s="29"/>
      <c r="P51" s="29"/>
      <c r="Q51" s="29">
        <f>Q50</f>
        <v>32.827600000000011</v>
      </c>
      <c r="R51" s="9">
        <f t="shared" si="11"/>
        <v>32.827600000000011</v>
      </c>
      <c r="S51" s="9">
        <f>S50</f>
        <v>42.928400000000018</v>
      </c>
      <c r="T51" s="9">
        <f>T50</f>
        <v>3.7878000000000012</v>
      </c>
      <c r="U51" s="9">
        <f>U50</f>
        <v>0.37878000000000012</v>
      </c>
      <c r="V51" s="29">
        <f>V50</f>
        <v>18.939000000000007</v>
      </c>
      <c r="W51" s="29">
        <v>0.125</v>
      </c>
      <c r="X51" s="29">
        <f>X50</f>
        <v>2.619895000000001</v>
      </c>
      <c r="Y51" s="9">
        <f t="shared" si="8"/>
        <v>16.319105000000008</v>
      </c>
      <c r="Z51" s="9">
        <f>Z50</f>
        <v>13.888600000000006</v>
      </c>
      <c r="AA51" s="9">
        <f>AA50</f>
        <v>21.464200000000009</v>
      </c>
      <c r="AB51" s="9">
        <f>AB50</f>
        <v>21.464200000000009</v>
      </c>
      <c r="AC51" s="9">
        <f t="shared" si="13"/>
        <v>16.508495000000003</v>
      </c>
    </row>
    <row r="52" spans="1:29" ht="13.8" thickBot="1" x14ac:dyDescent="0.3">
      <c r="A52" s="23"/>
      <c r="B52" s="23"/>
      <c r="C52" s="23"/>
      <c r="D52" s="23"/>
      <c r="E52" s="35" t="s">
        <v>37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</row>
    <row r="53" spans="1:29" x14ac:dyDescent="0.25">
      <c r="A53" s="41" t="s">
        <v>53</v>
      </c>
      <c r="B53" s="26" t="s">
        <v>38</v>
      </c>
      <c r="C53" s="26"/>
      <c r="D53" s="39">
        <f>E55-E53</f>
        <v>0.70271699999999993</v>
      </c>
      <c r="E53" s="38">
        <v>3.3196999999999997E-2</v>
      </c>
      <c r="F53" s="12"/>
      <c r="G53" s="12"/>
      <c r="H53" s="12"/>
      <c r="I53" s="12"/>
      <c r="J53" s="12"/>
      <c r="K53" s="12"/>
      <c r="L53" s="12"/>
      <c r="M53" s="12"/>
      <c r="N53" s="27">
        <f t="shared" si="35"/>
        <v>0.68271699999999991</v>
      </c>
      <c r="O53" s="27">
        <v>0.104</v>
      </c>
      <c r="P53" s="27">
        <f t="shared" ref="P53:P54" si="61">((N53*1000)*1.64)*O53</f>
        <v>116.44421151999997</v>
      </c>
      <c r="Q53" s="27"/>
      <c r="R53" s="12"/>
      <c r="S53" s="12"/>
      <c r="T53" s="12"/>
      <c r="U53" s="12"/>
      <c r="V53" s="27"/>
      <c r="W53" s="27"/>
      <c r="X53" s="27"/>
      <c r="Y53" s="12"/>
      <c r="Z53" s="12"/>
      <c r="AA53" s="12"/>
      <c r="AB53" s="12"/>
      <c r="AC53" s="12"/>
    </row>
    <row r="54" spans="1:29" x14ac:dyDescent="0.25">
      <c r="A54" s="41"/>
      <c r="B54" s="26"/>
      <c r="C54" s="26"/>
      <c r="D54" s="40"/>
      <c r="E54" s="33">
        <f>E55-0.02</f>
        <v>0.71591399999999994</v>
      </c>
      <c r="F54" s="8">
        <v>2.6</v>
      </c>
      <c r="G54" s="8"/>
      <c r="H54" s="8"/>
      <c r="I54" s="8"/>
      <c r="J54" s="8">
        <f>F54-K54</f>
        <v>1.5</v>
      </c>
      <c r="K54" s="8">
        <v>1.1000000000000001</v>
      </c>
      <c r="L54" s="8"/>
      <c r="M54" s="8"/>
      <c r="N54" s="28">
        <f t="shared" si="35"/>
        <v>2.0000000000000018E-2</v>
      </c>
      <c r="O54" s="28">
        <v>0.104</v>
      </c>
      <c r="P54" s="28">
        <f t="shared" si="61"/>
        <v>3.4112000000000027</v>
      </c>
      <c r="Q54" s="28">
        <f>(E55-E54)*1000*F54</f>
        <v>52.00000000000005</v>
      </c>
      <c r="R54" s="8">
        <f t="shared" si="11"/>
        <v>48.588800000000049</v>
      </c>
      <c r="S54" s="8"/>
      <c r="T54" s="8"/>
      <c r="U54" s="8"/>
      <c r="V54" s="28">
        <f>(E55-E54)*1000*J54</f>
        <v>30.000000000000028</v>
      </c>
      <c r="W54" s="28">
        <v>0.125</v>
      </c>
      <c r="X54" s="28">
        <f>((N54*1000)*1.66)*W54</f>
        <v>4.1500000000000039</v>
      </c>
      <c r="Y54" s="8">
        <f t="shared" si="8"/>
        <v>25.850000000000023</v>
      </c>
      <c r="Z54" s="8">
        <f>(E55-E54)*1000*K54</f>
        <v>22.000000000000021</v>
      </c>
      <c r="AA54" s="8"/>
      <c r="AB54" s="8"/>
      <c r="AC54" s="8">
        <f t="shared" si="13"/>
        <v>22.738800000000026</v>
      </c>
    </row>
    <row r="55" spans="1:29" x14ac:dyDescent="0.25">
      <c r="A55" s="41"/>
      <c r="B55" s="26" t="s">
        <v>19</v>
      </c>
      <c r="C55" s="26"/>
      <c r="D55" s="40"/>
      <c r="E55" s="33">
        <f>0.727694+0.00822</f>
        <v>0.73591399999999996</v>
      </c>
      <c r="F55" s="8"/>
      <c r="G55" s="8"/>
      <c r="H55" s="8"/>
      <c r="I55" s="8"/>
      <c r="J55" s="8"/>
      <c r="K55" s="8"/>
      <c r="L55" s="8"/>
      <c r="M55" s="8"/>
      <c r="N55" s="28"/>
      <c r="O55" s="28"/>
      <c r="P55" s="28"/>
      <c r="Q55" s="28">
        <f>Q54</f>
        <v>52.00000000000005</v>
      </c>
      <c r="R55" s="8">
        <f t="shared" si="11"/>
        <v>52.00000000000005</v>
      </c>
      <c r="S55" s="8"/>
      <c r="T55" s="8"/>
      <c r="U55" s="8"/>
      <c r="V55" s="28">
        <f>V54</f>
        <v>30.000000000000028</v>
      </c>
      <c r="W55" s="28">
        <v>0.125</v>
      </c>
      <c r="X55" s="28">
        <f>X54</f>
        <v>4.1500000000000039</v>
      </c>
      <c r="Y55" s="8">
        <f t="shared" si="8"/>
        <v>25.850000000000023</v>
      </c>
      <c r="Z55" s="8">
        <f>Z54</f>
        <v>22.000000000000021</v>
      </c>
      <c r="AA55" s="8"/>
      <c r="AB55" s="8"/>
      <c r="AC55" s="8">
        <f>R55-Y55</f>
        <v>26.150000000000027</v>
      </c>
    </row>
    <row r="56" spans="1:29" x14ac:dyDescent="0.25">
      <c r="A56" s="3"/>
      <c r="B56" s="3"/>
      <c r="E56" s="13"/>
      <c r="F56" s="10"/>
      <c r="G56" s="10"/>
      <c r="H56" s="10"/>
      <c r="I56" s="10"/>
      <c r="J56" s="10"/>
      <c r="K56" s="10"/>
      <c r="L56" s="10"/>
      <c r="M56" s="14" t="s">
        <v>8</v>
      </c>
      <c r="N56" s="14"/>
      <c r="O56" s="14"/>
      <c r="P56" s="14"/>
      <c r="Q56" s="14">
        <f>SUM(Q6:Q55)</f>
        <v>8093.989399999763</v>
      </c>
      <c r="R56" s="14">
        <f>SUM(R6:R55)</f>
        <v>7891.4697091197759</v>
      </c>
      <c r="S56" s="14">
        <f>SUM(S6:S55)</f>
        <v>7313.759799999948</v>
      </c>
      <c r="T56" s="14">
        <f>SUM(T6:T55)</f>
        <v>1145.7894999999894</v>
      </c>
      <c r="U56" s="14">
        <f>SUM(U6:U55)</f>
        <v>70.702319999999887</v>
      </c>
      <c r="V56" s="14"/>
      <c r="W56" s="14"/>
      <c r="X56" s="14"/>
      <c r="Y56" s="14">
        <f>SUM(Y6:Y55)</f>
        <v>5233.876622499869</v>
      </c>
      <c r="Z56" s="14">
        <f>SUM(Z6:Z55)</f>
        <v>2769.5801999999439</v>
      </c>
      <c r="AA56" s="14">
        <f>SUM(AA6:AA55)</f>
        <v>3656.879899999974</v>
      </c>
      <c r="AB56" s="14">
        <f>SUM(AB6:AB55)</f>
        <v>3656.879899999974</v>
      </c>
      <c r="AC56" s="14">
        <f>SUM(AC6:AC55)</f>
        <v>3173.5930866199092</v>
      </c>
    </row>
    <row r="57" spans="1:29" x14ac:dyDescent="0.25">
      <c r="Q57" s="49">
        <f>R56+S56+T56</f>
        <v>16351.019009119713</v>
      </c>
      <c r="R57" s="49"/>
      <c r="S57" s="49"/>
      <c r="T57" s="49"/>
      <c r="U57" s="49">
        <f>U56+Y56+Z56+AA56+AB56+AC56</f>
        <v>18561.512029119673</v>
      </c>
      <c r="V57" s="49"/>
      <c r="W57" s="49"/>
      <c r="X57" s="49"/>
      <c r="Y57" s="49"/>
      <c r="Z57" s="49"/>
      <c r="AA57" s="49"/>
      <c r="AB57" s="49"/>
    </row>
    <row r="58" spans="1:29" x14ac:dyDescent="0.25"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60" spans="1:29" x14ac:dyDescent="0.25">
      <c r="A60" s="4" t="s">
        <v>60</v>
      </c>
      <c r="D60" s="45">
        <f>E61-E60</f>
        <v>9.724400000001765E-2</v>
      </c>
      <c r="E60" s="2">
        <v>231.98658399999999</v>
      </c>
    </row>
    <row r="61" spans="1:29" x14ac:dyDescent="0.25">
      <c r="D61" s="45"/>
      <c r="E61" s="2">
        <v>232.08382800000001</v>
      </c>
    </row>
    <row r="63" spans="1:29" x14ac:dyDescent="0.25">
      <c r="A63" s="4" t="s">
        <v>61</v>
      </c>
      <c r="D63" s="45">
        <f>E64-E63</f>
        <v>2.8164000000000022E-2</v>
      </c>
      <c r="E63" s="2">
        <v>0.38305499999999998</v>
      </c>
    </row>
    <row r="64" spans="1:29" x14ac:dyDescent="0.25">
      <c r="D64" s="45"/>
      <c r="E64" s="2">
        <v>0.411219</v>
      </c>
    </row>
    <row r="66" spans="1:5" x14ac:dyDescent="0.25">
      <c r="A66" s="4" t="s">
        <v>62</v>
      </c>
      <c r="D66" s="45">
        <f>E67-E66</f>
        <v>0.37722800000000234</v>
      </c>
      <c r="E66" s="2">
        <v>233.187355</v>
      </c>
    </row>
    <row r="67" spans="1:5" x14ac:dyDescent="0.25">
      <c r="D67" s="45"/>
      <c r="E67" s="2">
        <v>233.564583</v>
      </c>
    </row>
    <row r="72" spans="1:5" x14ac:dyDescent="0.25">
      <c r="B72" t="s">
        <v>66</v>
      </c>
      <c r="C72" s="3" t="s">
        <v>64</v>
      </c>
      <c r="D72" s="3" t="s">
        <v>65</v>
      </c>
    </row>
    <row r="73" spans="1:5" x14ac:dyDescent="0.25">
      <c r="A73" s="4" t="s">
        <v>63</v>
      </c>
      <c r="B73" s="3">
        <v>89</v>
      </c>
      <c r="C73" s="3">
        <f>3.62+3.62</f>
        <v>7.24</v>
      </c>
      <c r="D73" s="3">
        <v>3.62</v>
      </c>
    </row>
    <row r="74" spans="1:5" x14ac:dyDescent="0.25">
      <c r="B74" s="3">
        <v>87</v>
      </c>
      <c r="C74" s="3">
        <f>3.63+3.63</f>
        <v>7.26</v>
      </c>
      <c r="D74" s="3">
        <v>3.02</v>
      </c>
    </row>
    <row r="75" spans="1:5" x14ac:dyDescent="0.25">
      <c r="B75" s="3">
        <v>85</v>
      </c>
      <c r="C75" s="3">
        <f>3.62+3.6</f>
        <v>7.2200000000000006</v>
      </c>
      <c r="D75" s="3">
        <v>4.22</v>
      </c>
    </row>
    <row r="76" spans="1:5" x14ac:dyDescent="0.25">
      <c r="B76" s="3">
        <v>82</v>
      </c>
      <c r="C76" s="3">
        <f>3.62+3.62</f>
        <v>7.24</v>
      </c>
      <c r="D76" s="3">
        <f>3.62+3.62+15</f>
        <v>22.240000000000002</v>
      </c>
    </row>
    <row r="77" spans="1:5" x14ac:dyDescent="0.25">
      <c r="B77" s="3">
        <v>79</v>
      </c>
      <c r="C77" s="3">
        <f>3.63+3.63</f>
        <v>7.26</v>
      </c>
      <c r="D77" s="3">
        <f>3.02+1.82</f>
        <v>4.84</v>
      </c>
    </row>
    <row r="78" spans="1:5" x14ac:dyDescent="0.25">
      <c r="B78" s="3">
        <v>75</v>
      </c>
      <c r="C78" s="3">
        <f>4.82*4</f>
        <v>19.28</v>
      </c>
      <c r="D78" s="3">
        <f>3.62*2+4.82*2+10</f>
        <v>26.880000000000003</v>
      </c>
    </row>
    <row r="79" spans="1:5" x14ac:dyDescent="0.25">
      <c r="C79" s="3">
        <f>SUM(C73:C78)</f>
        <v>55.5</v>
      </c>
      <c r="D79" s="3">
        <f>SUM(D73:D78)</f>
        <v>64.819999999999993</v>
      </c>
    </row>
    <row r="88" spans="1:4" x14ac:dyDescent="0.25">
      <c r="B88" t="s">
        <v>66</v>
      </c>
      <c r="C88" s="3" t="s">
        <v>64</v>
      </c>
      <c r="D88" s="3" t="s">
        <v>65</v>
      </c>
    </row>
    <row r="89" spans="1:4" x14ac:dyDescent="0.25">
      <c r="A89" s="4" t="s">
        <v>63</v>
      </c>
      <c r="B89" s="3">
        <v>14</v>
      </c>
      <c r="C89" s="3">
        <f>3.62+3.62</f>
        <v>7.24</v>
      </c>
      <c r="D89" s="3">
        <f>3.6+3.62+3</f>
        <v>10.220000000000001</v>
      </c>
    </row>
    <row r="90" spans="1:4" x14ac:dyDescent="0.25">
      <c r="B90" s="3" t="s">
        <v>68</v>
      </c>
      <c r="C90" s="3">
        <f>3.62+3.62</f>
        <v>7.24</v>
      </c>
      <c r="D90" s="3">
        <f>2.42+6</f>
        <v>8.42</v>
      </c>
    </row>
    <row r="91" spans="1:4" x14ac:dyDescent="0.25">
      <c r="B91" s="3" t="s">
        <v>67</v>
      </c>
      <c r="C91" s="3">
        <f>3.62+3.62</f>
        <v>7.24</v>
      </c>
      <c r="D91" s="3">
        <v>2.44</v>
      </c>
    </row>
    <row r="92" spans="1:4" x14ac:dyDescent="0.25">
      <c r="B92" s="3">
        <v>54</v>
      </c>
      <c r="C92" s="3">
        <f>4.82+4.82</f>
        <v>9.64</v>
      </c>
      <c r="D92" s="3">
        <f>3.62+4.82</f>
        <v>8.4400000000000013</v>
      </c>
    </row>
    <row r="93" spans="1:4" x14ac:dyDescent="0.25">
      <c r="B93" s="3">
        <v>57</v>
      </c>
      <c r="C93" s="3">
        <f>3.62+3.62</f>
        <v>7.24</v>
      </c>
      <c r="D93" s="3">
        <f>2.4+2.42+3.02+2.36</f>
        <v>10.199999999999999</v>
      </c>
    </row>
    <row r="94" spans="1:4" x14ac:dyDescent="0.25">
      <c r="B94" s="3">
        <v>25</v>
      </c>
      <c r="C94" s="3">
        <f>4.2+4.2</f>
        <v>8.4</v>
      </c>
      <c r="D94" s="3">
        <v>4.2300000000000004</v>
      </c>
    </row>
    <row r="95" spans="1:4" x14ac:dyDescent="0.25">
      <c r="C95" s="3">
        <f>SUM(C89:C94)</f>
        <v>47</v>
      </c>
      <c r="D95" s="3">
        <f>SUM(D89:D94)</f>
        <v>43.95</v>
      </c>
    </row>
    <row r="98" spans="1:5" x14ac:dyDescent="0.25">
      <c r="B98" t="s">
        <v>79</v>
      </c>
      <c r="C98" s="3" t="s">
        <v>80</v>
      </c>
      <c r="D98" s="3" t="s">
        <v>81</v>
      </c>
      <c r="E98" s="2" t="s">
        <v>82</v>
      </c>
    </row>
    <row r="99" spans="1:5" x14ac:dyDescent="0.25">
      <c r="A99" s="4" t="s">
        <v>69</v>
      </c>
      <c r="B99" t="s">
        <v>70</v>
      </c>
      <c r="C99" s="3">
        <v>2.6841E-2</v>
      </c>
      <c r="D99" s="3">
        <v>0.226436</v>
      </c>
      <c r="E99" s="2">
        <f>(D99-C99)*1000</f>
        <v>199.595</v>
      </c>
    </row>
    <row r="100" spans="1:5" x14ac:dyDescent="0.25">
      <c r="B100" t="s">
        <v>71</v>
      </c>
      <c r="C100" s="3">
        <v>4</v>
      </c>
      <c r="E100" s="2">
        <v>4</v>
      </c>
    </row>
    <row r="101" spans="1:5" x14ac:dyDescent="0.25">
      <c r="B101" t="s">
        <v>72</v>
      </c>
      <c r="C101" s="3">
        <v>233.03934799999999</v>
      </c>
      <c r="D101" s="3">
        <v>233.14185900000001</v>
      </c>
      <c r="E101" s="2">
        <f>(D101-C101)*1000</f>
        <v>102.51100000002111</v>
      </c>
    </row>
    <row r="102" spans="1:5" x14ac:dyDescent="0.25">
      <c r="B102" t="s">
        <v>73</v>
      </c>
      <c r="C102" s="3">
        <f>232.91605+0.00245</f>
        <v>232.91850000000002</v>
      </c>
      <c r="D102" s="3">
        <v>232.982833</v>
      </c>
      <c r="E102" s="2">
        <f>(D102-C102)*1000</f>
        <v>64.332999999976437</v>
      </c>
    </row>
    <row r="103" spans="1:5" x14ac:dyDescent="0.25">
      <c r="E103" s="2">
        <f>SUM(E99:E102)</f>
        <v>370.43899999999758</v>
      </c>
    </row>
    <row r="106" spans="1:5" x14ac:dyDescent="0.25">
      <c r="A106" s="4" t="s">
        <v>69</v>
      </c>
      <c r="B106" t="s">
        <v>74</v>
      </c>
      <c r="E106" s="2">
        <v>4</v>
      </c>
    </row>
  </sheetData>
  <autoFilter ref="A1:AB58" xr:uid="{00000000-0001-0000-0100-000000000000}"/>
  <mergeCells count="30">
    <mergeCell ref="D60:D61"/>
    <mergeCell ref="D63:D64"/>
    <mergeCell ref="A53:A55"/>
    <mergeCell ref="A48:A51"/>
    <mergeCell ref="U57:AB57"/>
    <mergeCell ref="Q57:T57"/>
    <mergeCell ref="D53:D55"/>
    <mergeCell ref="D48:D51"/>
    <mergeCell ref="D66:D67"/>
    <mergeCell ref="A42:A43"/>
    <mergeCell ref="C16:C17"/>
    <mergeCell ref="A9:A10"/>
    <mergeCell ref="A11:A15"/>
    <mergeCell ref="A16:A25"/>
    <mergeCell ref="A27:A31"/>
    <mergeCell ref="A32:A33"/>
    <mergeCell ref="D16:D25"/>
    <mergeCell ref="D36:D37"/>
    <mergeCell ref="D39:D40"/>
    <mergeCell ref="D42:D43"/>
    <mergeCell ref="D27:D31"/>
    <mergeCell ref="D11:D15"/>
    <mergeCell ref="A36:A37"/>
    <mergeCell ref="A39:A40"/>
    <mergeCell ref="D45:D46"/>
    <mergeCell ref="A45:A46"/>
    <mergeCell ref="D32:D33"/>
    <mergeCell ref="D6:D8"/>
    <mergeCell ref="D9:D10"/>
    <mergeCell ref="A6:A8"/>
  </mergeCells>
  <phoneticPr fontId="3" type="noConversion"/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"/>
  <sheetViews>
    <sheetView workbookViewId="0"/>
  </sheetViews>
  <sheetFormatPr defaultRowHeight="13.2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7B878A223D55947866786C005F8655E" ma:contentTypeVersion="12" ma:contentTypeDescription="Vytvoří nový dokument" ma:contentTypeScope="" ma:versionID="9ad474604358f6ebc86d086755824f28">
  <xsd:schema xmlns:xsd="http://www.w3.org/2001/XMLSchema" xmlns:xs="http://www.w3.org/2001/XMLSchema" xmlns:p="http://schemas.microsoft.com/office/2006/metadata/properties" xmlns:ns2="609d3a32-9eb5-41a3-bf6a-65efbd79395c" xmlns:ns3="f19c425d-a4a6-4377-b1fb-12ec99f50a77" targetNamespace="http://schemas.microsoft.com/office/2006/metadata/properties" ma:root="true" ma:fieldsID="24b43bb320fcca11991d10fb8dd5645c" ns2:_="" ns3:_="">
    <xsd:import namespace="609d3a32-9eb5-41a3-bf6a-65efbd79395c"/>
    <xsd:import namespace="f19c425d-a4a6-4377-b1fb-12ec99f50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9d3a32-9eb5-41a3-bf6a-65efbd7939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9c425d-a4a6-4377-b1fb-12ec99f50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744369-6F02-4AA9-AEF4-C704C9D1FF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9d3a32-9eb5-41a3-bf6a-65efbd79395c"/>
    <ds:schemaRef ds:uri="f19c425d-a4a6-4377-b1fb-12ec99f50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91A8FE-E43B-46BE-B362-C0A58C3ECC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E8700B-AB78-4BD9-BD1A-AE01E4DB448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List3</vt:lpstr>
    </vt:vector>
  </TitlesOfParts>
  <Company>BRVZ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Kotyzova</dc:creator>
  <cp:lastModifiedBy>Jakub Rentka</cp:lastModifiedBy>
  <cp:lastPrinted>2020-04-24T10:11:44Z</cp:lastPrinted>
  <dcterms:created xsi:type="dcterms:W3CDTF">2018-08-15T10:59:09Z</dcterms:created>
  <dcterms:modified xsi:type="dcterms:W3CDTF">2024-02-28T12:42:05Z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0x010100D7B878A223D55947866786C005F8655E</vt:lpwstr>
  </property>
</Properties>
</file>